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BIWS)\M&amp;I\Course-Revisions\Real-Estate\RE-Bonus-Case-01-Multifamily-Acquisition\"/>
    </mc:Choice>
  </mc:AlternateContent>
  <bookViews>
    <workbookView xWindow="0" yWindow="0" windowWidth="23040" windowHeight="10668" activeTab="5"/>
  </bookViews>
  <sheets>
    <sheet name="Lyric-Unit-Mix" sheetId="1" r:id="rId1"/>
    <sheet name="Comp-Sales" sheetId="2" r:id="rId2"/>
    <sheet name="Apt-Comps" sheetId="3" r:id="rId3"/>
    <sheet name="Market-Stats" sheetId="5" r:id="rId4"/>
    <sheet name="Demographics" sheetId="4" r:id="rId5"/>
    <sheet name="Replacement-Cost" sheetId="6" r:id="rId6"/>
  </sheets>
  <definedNames>
    <definedName name="_xlnm.Print_Area" localSheetId="2">'Apt-Comps'!$A$1:$Q$35</definedName>
    <definedName name="_xlnm.Print_Area" localSheetId="1">'Comp-Sales'!$A$1:$O$19</definedName>
    <definedName name="_xlnm.Print_Area" localSheetId="4">Demographics!$A$1:$N$18</definedName>
    <definedName name="_xlnm.Print_Area" localSheetId="0">'Lyric-Unit-Mix'!$A$1:$L$52</definedName>
    <definedName name="_xlnm.Print_Area" localSheetId="3">'Market-Stats'!$A$1:$J$48</definedName>
    <definedName name="_xlnm.Print_Area" localSheetId="5">'Replacement-Cost'!$A$1:$I$39</definedName>
  </definedNames>
  <calcPr calcId="15251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E17" i="6"/>
  <c r="E16" i="6"/>
  <c r="H11" i="6"/>
  <c r="G11" i="6"/>
  <c r="H32" i="6" l="1"/>
  <c r="G32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E30" i="6"/>
  <c r="H17" i="6"/>
  <c r="G17" i="6"/>
  <c r="H16" i="6"/>
  <c r="G16" i="6"/>
  <c r="H15" i="6"/>
  <c r="G15" i="6"/>
  <c r="E18" i="6"/>
  <c r="H10" i="6"/>
  <c r="G10" i="6"/>
  <c r="E12" i="6"/>
  <c r="G30" i="6" l="1"/>
  <c r="H30" i="6"/>
  <c r="E34" i="6"/>
  <c r="H18" i="6"/>
  <c r="G18" i="6"/>
  <c r="G12" i="6"/>
  <c r="H12" i="6"/>
  <c r="G47" i="5"/>
  <c r="G46" i="5"/>
  <c r="G45" i="5"/>
  <c r="G44" i="5"/>
  <c r="G43" i="5"/>
  <c r="G42" i="5"/>
  <c r="E42" i="5"/>
  <c r="I37" i="5"/>
  <c r="G37" i="5"/>
  <c r="E37" i="5"/>
  <c r="I36" i="5"/>
  <c r="G36" i="5"/>
  <c r="E36" i="5"/>
  <c r="I34" i="5"/>
  <c r="G34" i="5"/>
  <c r="E34" i="5"/>
  <c r="C34" i="5"/>
  <c r="C47" i="5" s="1"/>
  <c r="E33" i="5"/>
  <c r="C33" i="5"/>
  <c r="C46" i="5" s="1"/>
  <c r="E32" i="5"/>
  <c r="C32" i="5"/>
  <c r="C45" i="5" s="1"/>
  <c r="E31" i="5"/>
  <c r="C31" i="5"/>
  <c r="C44" i="5" s="1"/>
  <c r="E30" i="5"/>
  <c r="C30" i="5"/>
  <c r="C43" i="5" s="1"/>
  <c r="C29" i="5"/>
  <c r="C42" i="5" s="1"/>
  <c r="C28" i="5"/>
  <c r="C41" i="5" s="1"/>
  <c r="C27" i="5"/>
  <c r="C40" i="5" s="1"/>
  <c r="C26" i="5"/>
  <c r="C39" i="5" s="1"/>
  <c r="I24" i="5"/>
  <c r="G24" i="5"/>
  <c r="E24" i="5"/>
  <c r="I23" i="5"/>
  <c r="G23" i="5"/>
  <c r="E23" i="5"/>
  <c r="I11" i="5"/>
  <c r="G11" i="5"/>
  <c r="E11" i="5"/>
  <c r="I10" i="5"/>
  <c r="G10" i="5"/>
  <c r="E10" i="5"/>
  <c r="F32" i="6" l="1"/>
  <c r="E36" i="6"/>
  <c r="E38" i="6" s="1"/>
  <c r="H38" i="6" s="1"/>
  <c r="F12" i="6"/>
  <c r="F18" i="6"/>
  <c r="F34" i="6"/>
  <c r="F30" i="6"/>
  <c r="G34" i="6"/>
  <c r="H34" i="6"/>
  <c r="J34" i="3"/>
  <c r="H34" i="3"/>
  <c r="F34" i="3"/>
  <c r="L31" i="3"/>
  <c r="L25" i="3"/>
  <c r="L32" i="3"/>
  <c r="L30" i="3"/>
  <c r="L27" i="3"/>
  <c r="L24" i="3"/>
  <c r="L26" i="3"/>
  <c r="L23" i="3"/>
  <c r="L28" i="3"/>
  <c r="L29" i="3"/>
  <c r="G38" i="6" l="1"/>
  <c r="H36" i="6"/>
  <c r="G36" i="6"/>
  <c r="L34" i="3"/>
  <c r="H17" i="3"/>
  <c r="M17" i="3" s="1"/>
  <c r="G17" i="3"/>
  <c r="F17" i="3"/>
  <c r="N19" i="3"/>
  <c r="L19" i="3"/>
  <c r="J19" i="3"/>
  <c r="O6" i="3"/>
  <c r="O13" i="3"/>
  <c r="I13" i="3"/>
  <c r="K13" i="3" s="1"/>
  <c r="O10" i="3"/>
  <c r="O11" i="3"/>
  <c r="I11" i="3"/>
  <c r="K11" i="3" s="1"/>
  <c r="O7" i="3"/>
  <c r="H19" i="3"/>
  <c r="O12" i="3"/>
  <c r="I12" i="3"/>
  <c r="M12" i="3" s="1"/>
  <c r="O14" i="3"/>
  <c r="O8" i="3"/>
  <c r="O15" i="3"/>
  <c r="O9" i="3"/>
  <c r="F19" i="3"/>
  <c r="G19" i="3"/>
  <c r="I14" i="3"/>
  <c r="M14" i="3" s="1"/>
  <c r="I8" i="3"/>
  <c r="K8" i="3" s="1"/>
  <c r="I15" i="3"/>
  <c r="M15" i="3" s="1"/>
  <c r="I10" i="3"/>
  <c r="K10" i="3" s="1"/>
  <c r="I9" i="3"/>
  <c r="K9" i="3" s="1"/>
  <c r="I6" i="3"/>
  <c r="M6" i="3" s="1"/>
  <c r="F18" i="2"/>
  <c r="M9" i="3" l="1"/>
  <c r="O19" i="3"/>
  <c r="M10" i="3"/>
  <c r="O17" i="3"/>
  <c r="M13" i="3"/>
  <c r="I17" i="3"/>
  <c r="J17" i="3"/>
  <c r="K17" i="3"/>
  <c r="L17" i="3"/>
  <c r="N17" i="3"/>
  <c r="K6" i="3"/>
  <c r="M8" i="3"/>
  <c r="K15" i="3"/>
  <c r="K12" i="3"/>
  <c r="M11" i="3"/>
  <c r="I7" i="3"/>
  <c r="K14" i="3"/>
  <c r="K18" i="2"/>
  <c r="J18" i="2"/>
  <c r="I18" i="2"/>
  <c r="G18" i="2"/>
  <c r="L6" i="2"/>
  <c r="M6" i="2"/>
  <c r="H6" i="2"/>
  <c r="H12" i="2"/>
  <c r="M12" i="2"/>
  <c r="L12" i="2"/>
  <c r="L8" i="2"/>
  <c r="M8" i="2"/>
  <c r="H8" i="2"/>
  <c r="H10" i="2"/>
  <c r="M10" i="2"/>
  <c r="H9" i="2"/>
  <c r="M9" i="2"/>
  <c r="L10" i="2"/>
  <c r="L9" i="2"/>
  <c r="L11" i="2"/>
  <c r="M11" i="2"/>
  <c r="H11" i="2"/>
  <c r="H14" i="2"/>
  <c r="M14" i="2"/>
  <c r="M15" i="2"/>
  <c r="H15" i="2"/>
  <c r="L15" i="2"/>
  <c r="L14" i="2"/>
  <c r="H16" i="2"/>
  <c r="L16" i="2"/>
  <c r="H7" i="2"/>
  <c r="M7" i="2"/>
  <c r="L7" i="2"/>
  <c r="M13" i="2"/>
  <c r="L13" i="2"/>
  <c r="H13" i="2"/>
  <c r="H18" i="2" l="1"/>
  <c r="I19" i="3"/>
  <c r="M7" i="3"/>
  <c r="M19" i="3" s="1"/>
  <c r="K7" i="3"/>
  <c r="K19" i="3" s="1"/>
  <c r="N18" i="2"/>
  <c r="L18" i="2"/>
  <c r="M16" i="2"/>
  <c r="M18" i="2" s="1"/>
  <c r="I51" i="1"/>
  <c r="H13" i="1"/>
  <c r="H29" i="1"/>
  <c r="H39" i="1"/>
  <c r="F13" i="1"/>
  <c r="F29" i="1"/>
  <c r="F39" i="1"/>
  <c r="F49" i="1"/>
  <c r="G51" i="1"/>
  <c r="K51" i="1" s="1"/>
  <c r="I47" i="1"/>
  <c r="H46" i="1"/>
  <c r="I46" i="1" s="1"/>
  <c r="H45" i="1"/>
  <c r="I45" i="1" s="1"/>
  <c r="I42" i="1"/>
  <c r="D49" i="1"/>
  <c r="J49" i="1" s="1"/>
  <c r="K48" i="1"/>
  <c r="I48" i="1"/>
  <c r="G48" i="1"/>
  <c r="K47" i="1"/>
  <c r="G47" i="1"/>
  <c r="K46" i="1"/>
  <c r="G46" i="1"/>
  <c r="K45" i="1"/>
  <c r="G45" i="1"/>
  <c r="K44" i="1"/>
  <c r="I44" i="1"/>
  <c r="G44" i="1"/>
  <c r="K43" i="1"/>
  <c r="I43" i="1"/>
  <c r="G43" i="1"/>
  <c r="K42" i="1"/>
  <c r="G42" i="1"/>
  <c r="K41" i="1"/>
  <c r="I41" i="1"/>
  <c r="G41" i="1"/>
  <c r="K38" i="1"/>
  <c r="K37" i="1"/>
  <c r="K36" i="1"/>
  <c r="K35" i="1"/>
  <c r="I38" i="1"/>
  <c r="I37" i="1"/>
  <c r="I36" i="1"/>
  <c r="I35" i="1"/>
  <c r="G38" i="1"/>
  <c r="G37" i="1"/>
  <c r="G36" i="1"/>
  <c r="G35" i="1"/>
  <c r="I34" i="1"/>
  <c r="D39" i="1"/>
  <c r="K34" i="1"/>
  <c r="G34" i="1"/>
  <c r="K33" i="1"/>
  <c r="I33" i="1"/>
  <c r="G33" i="1"/>
  <c r="K32" i="1"/>
  <c r="I32" i="1"/>
  <c r="G32" i="1"/>
  <c r="K31" i="1"/>
  <c r="I31" i="1"/>
  <c r="G31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G27" i="1"/>
  <c r="G26" i="1"/>
  <c r="G25" i="1"/>
  <c r="G22" i="1"/>
  <c r="G21" i="1"/>
  <c r="G20" i="1"/>
  <c r="G17" i="1"/>
  <c r="G16" i="1"/>
  <c r="G15" i="1"/>
  <c r="K18" i="1"/>
  <c r="I18" i="1"/>
  <c r="G28" i="1"/>
  <c r="G24" i="1"/>
  <c r="G23" i="1"/>
  <c r="G19" i="1"/>
  <c r="G18" i="1"/>
  <c r="K12" i="1"/>
  <c r="K11" i="1"/>
  <c r="K10" i="1"/>
  <c r="G12" i="1"/>
  <c r="G11" i="1"/>
  <c r="G10" i="1"/>
  <c r="I12" i="1"/>
  <c r="I11" i="1"/>
  <c r="I10" i="1"/>
  <c r="D13" i="1"/>
  <c r="D29" i="1"/>
  <c r="J29" i="1" s="1"/>
  <c r="I9" i="1"/>
  <c r="I8" i="1"/>
  <c r="I7" i="1"/>
  <c r="K9" i="1"/>
  <c r="K8" i="1"/>
  <c r="K7" i="1"/>
  <c r="G9" i="1"/>
  <c r="G8" i="1"/>
  <c r="G7" i="1"/>
  <c r="D51" i="1" l="1"/>
  <c r="G49" i="1"/>
  <c r="K49" i="1" s="1"/>
  <c r="H49" i="1"/>
  <c r="G39" i="1"/>
  <c r="K39" i="1" s="1"/>
  <c r="J39" i="1"/>
  <c r="J13" i="1"/>
  <c r="G13" i="1"/>
  <c r="I13" i="1" s="1"/>
  <c r="G29" i="1"/>
  <c r="K29" i="1" s="1"/>
  <c r="F51" i="1" l="1"/>
  <c r="J51" i="1"/>
  <c r="E41" i="1"/>
  <c r="E33" i="1"/>
  <c r="E17" i="1"/>
  <c r="E23" i="1"/>
  <c r="E32" i="1"/>
  <c r="E47" i="1"/>
  <c r="E31" i="1"/>
  <c r="E15" i="1"/>
  <c r="E12" i="1"/>
  <c r="E46" i="1"/>
  <c r="E38" i="1"/>
  <c r="E22" i="1"/>
  <c r="E28" i="1"/>
  <c r="E11" i="1"/>
  <c r="E45" i="1"/>
  <c r="E37" i="1"/>
  <c r="E21" i="1"/>
  <c r="E27" i="1"/>
  <c r="E10" i="1"/>
  <c r="E35" i="1"/>
  <c r="E19" i="1"/>
  <c r="E25" i="1"/>
  <c r="E44" i="1"/>
  <c r="E36" i="1"/>
  <c r="E20" i="1"/>
  <c r="E26" i="1"/>
  <c r="E9" i="1"/>
  <c r="E43" i="1"/>
  <c r="E8" i="1"/>
  <c r="E42" i="1"/>
  <c r="E34" i="1"/>
  <c r="E18" i="1"/>
  <c r="E24" i="1"/>
  <c r="E7" i="1"/>
  <c r="E48" i="1"/>
  <c r="E16" i="1"/>
  <c r="I49" i="1"/>
  <c r="I39" i="1"/>
  <c r="K13" i="1"/>
  <c r="I29" i="1"/>
  <c r="E39" i="1" l="1"/>
  <c r="E13" i="1"/>
  <c r="E49" i="1"/>
  <c r="E29" i="1"/>
  <c r="E51" i="1" l="1"/>
</calcChain>
</file>

<file path=xl/sharedStrings.xml><?xml version="1.0" encoding="utf-8"?>
<sst xmlns="http://schemas.openxmlformats.org/spreadsheetml/2006/main" count="307" uniqueCount="208">
  <si>
    <t>Unit Mix for The Lyric (215 10th Ave E)</t>
  </si>
  <si>
    <t>Type:</t>
  </si>
  <si>
    <t># Units:</t>
  </si>
  <si>
    <t>% Mix:</t>
  </si>
  <si>
    <t>Unit SF:</t>
  </si>
  <si>
    <t>Total SF:</t>
  </si>
  <si>
    <t>Market Rent</t>
  </si>
  <si>
    <t>per Unit:</t>
  </si>
  <si>
    <t>per SF:</t>
  </si>
  <si>
    <t>Effective Rent</t>
  </si>
  <si>
    <t>Studio - A1</t>
  </si>
  <si>
    <t>Studio - A2</t>
  </si>
  <si>
    <t>Studio - A3</t>
  </si>
  <si>
    <t>Total / Average Studio:</t>
  </si>
  <si>
    <r>
      <t>per Unit:</t>
    </r>
    <r>
      <rPr>
        <b/>
        <vertAlign val="superscript"/>
        <sz val="11"/>
        <color theme="1"/>
        <rFont val="Calibri"/>
        <family val="2"/>
      </rPr>
      <t>(1)</t>
    </r>
  </si>
  <si>
    <r>
      <t>per SF:</t>
    </r>
    <r>
      <rPr>
        <b/>
        <vertAlign val="superscript"/>
        <sz val="11"/>
        <color theme="1"/>
        <rFont val="Calibri"/>
        <family val="2"/>
      </rPr>
      <t>(1)</t>
    </r>
  </si>
  <si>
    <t>1 BR / 1 BH - A1</t>
  </si>
  <si>
    <t>1 BR / 1 BH - A2</t>
  </si>
  <si>
    <t>1 BR / 1 BH - A3</t>
  </si>
  <si>
    <t>1 BR / 1 BH - A4</t>
  </si>
  <si>
    <t>1 BR / 1 BH - B1</t>
  </si>
  <si>
    <t>1 BR / 1 BH - B2</t>
  </si>
  <si>
    <t>1 BR / 1 BH - B3</t>
  </si>
  <si>
    <t>1 BR / 1 BH - B4</t>
  </si>
  <si>
    <t>1 BR / 1 BH - C1</t>
  </si>
  <si>
    <t>1 BR / 1 BH - C2</t>
  </si>
  <si>
    <t>1 BR / 1 BH - C3</t>
  </si>
  <si>
    <t>1 BR / 1 BH - C4</t>
  </si>
  <si>
    <t>1 BR / 1 BH - C5</t>
  </si>
  <si>
    <t>1 BR / 1 BH - C6</t>
  </si>
  <si>
    <t>Studio - A4</t>
  </si>
  <si>
    <t>Studio - A5</t>
  </si>
  <si>
    <t>Studio - A6</t>
  </si>
  <si>
    <t>Total / Average 1 BR / 1 BH:</t>
  </si>
  <si>
    <t>Total / Average 2 BR / 1 BH:</t>
  </si>
  <si>
    <t>2 BR / 1 BH - C5</t>
  </si>
  <si>
    <t>2 BR / 1 BH - C6</t>
  </si>
  <si>
    <t>2 BR / 1 BH - C7</t>
  </si>
  <si>
    <t>2 BR / 1 BH - C8</t>
  </si>
  <si>
    <t>2 BR / 1 BH - D1</t>
  </si>
  <si>
    <t>2 BR / 1 BH - D2</t>
  </si>
  <si>
    <t>2 BR / 1 BH - D3</t>
  </si>
  <si>
    <t>2 BR / 1 BH - D4</t>
  </si>
  <si>
    <t>Total / Average 2 BR / 2 BH:</t>
  </si>
  <si>
    <t>2 BR / 2 BH - D1</t>
  </si>
  <si>
    <t>2 BR / 2 BH - D2</t>
  </si>
  <si>
    <t>2 BR / 2 BH - D3</t>
  </si>
  <si>
    <t>2 BR / 2 BH - D4</t>
  </si>
  <si>
    <t>2 BR / 2 BH - E1</t>
  </si>
  <si>
    <t>2 BR / 2 BH - E2</t>
  </si>
  <si>
    <t>2 BR / 2 BH - E3</t>
  </si>
  <si>
    <t>2 BR / 2 BH - E4</t>
  </si>
  <si>
    <t>GRAND TOTAL / AVERAGE:</t>
  </si>
  <si>
    <t>Comparable Property Sales for The Lyric (215 10th Ave E)</t>
  </si>
  <si>
    <t>Property Name:</t>
  </si>
  <si>
    <t>Avg. Unit</t>
  </si>
  <si>
    <t>Sale</t>
  </si>
  <si>
    <t>Date:</t>
  </si>
  <si>
    <t>Built:</t>
  </si>
  <si>
    <t>Year</t>
  </si>
  <si>
    <t>Sale Price:</t>
  </si>
  <si>
    <t>Feet:</t>
  </si>
  <si>
    <t xml:space="preserve"># Square </t>
  </si>
  <si>
    <t xml:space="preserve">Price per </t>
  </si>
  <si>
    <t>Unit:</t>
  </si>
  <si>
    <t>Price per</t>
  </si>
  <si>
    <t>SF:</t>
  </si>
  <si>
    <t xml:space="preserve">Cap </t>
  </si>
  <si>
    <t>Rate:</t>
  </si>
  <si>
    <t>Address:</t>
  </si>
  <si>
    <t>Balfour Place</t>
  </si>
  <si>
    <t>Size in SF:</t>
  </si>
  <si>
    <t>The Martin Seattle</t>
  </si>
  <si>
    <t>Aspira</t>
  </si>
  <si>
    <t>Bell 206</t>
  </si>
  <si>
    <t>Moda Apartments</t>
  </si>
  <si>
    <t>Three20</t>
  </si>
  <si>
    <t>Neighborhood:</t>
  </si>
  <si>
    <t>Capitol Hill</t>
  </si>
  <si>
    <t>Downtown</t>
  </si>
  <si>
    <t>Gatsby</t>
  </si>
  <si>
    <t>Collins on Pine</t>
  </si>
  <si>
    <t>1222 E Pine Street</t>
  </si>
  <si>
    <t>First Hill/Yesler Terrace</t>
  </si>
  <si>
    <t>Panorama</t>
  </si>
  <si>
    <t>Belltown</t>
  </si>
  <si>
    <t>Joseph Arnold Lofts</t>
  </si>
  <si>
    <t>62 Cedar Street</t>
  </si>
  <si>
    <t>Alcyone</t>
  </si>
  <si>
    <t>301 Minor Avenue N</t>
  </si>
  <si>
    <t>South Lake Union</t>
  </si>
  <si>
    <t>Median:</t>
  </si>
  <si>
    <t>Denny Triangle</t>
  </si>
  <si>
    <t>2312 3rd Avenue</t>
  </si>
  <si>
    <t>206 Bell Street</t>
  </si>
  <si>
    <t>1820 Minor Avenue</t>
  </si>
  <si>
    <t>1823 Terry Avenue</t>
  </si>
  <si>
    <t>320 E Pine Street</t>
  </si>
  <si>
    <t>1145 10th Avenue E</t>
  </si>
  <si>
    <t>1100 University Street</t>
  </si>
  <si>
    <t>2105 5th Avenue</t>
  </si>
  <si>
    <t>Comparable Properties for The Lyric (215 10th Ave E)</t>
  </si>
  <si>
    <t>Occupancy</t>
  </si>
  <si>
    <t>%</t>
  </si>
  <si>
    <t>Concessions:</t>
  </si>
  <si>
    <t>Comments:</t>
  </si>
  <si>
    <t>523 Broadway Avenue E</t>
  </si>
  <si>
    <t>The Broadway Building</t>
  </si>
  <si>
    <t>Terravita Luxury</t>
  </si>
  <si>
    <t>Chloe</t>
  </si>
  <si>
    <t>Joule</t>
  </si>
  <si>
    <t>Packard</t>
  </si>
  <si>
    <t>Pearl</t>
  </si>
  <si>
    <t>Superior amenities; inferior 
location.</t>
  </si>
  <si>
    <t>Sunset Electric</t>
  </si>
  <si>
    <t>Citizen</t>
  </si>
  <si>
    <t>1111 E Pine Street</t>
  </si>
  <si>
    <t>1222 E Madison Street</t>
  </si>
  <si>
    <t>Similar amenities; similar 
location.</t>
  </si>
  <si>
    <t>1615 Belmont Avenue</t>
  </si>
  <si>
    <t>1641 Nagle Place</t>
  </si>
  <si>
    <t>1530 12th Avenue</t>
  </si>
  <si>
    <t>Similar amenities; lacks 2BR units.</t>
  </si>
  <si>
    <t>1530 15th Avenue</t>
  </si>
  <si>
    <t>Inferior amenities; similar location.</t>
  </si>
  <si>
    <t>REO Flats</t>
  </si>
  <si>
    <t>1525 14th Avenue</t>
  </si>
  <si>
    <t>Similar amenities; similar location.</t>
  </si>
  <si>
    <t>Studio:</t>
  </si>
  <si>
    <t>1BR:</t>
  </si>
  <si>
    <t>2BR:</t>
  </si>
  <si>
    <t>Total:</t>
  </si>
  <si>
    <t>Total or Average:</t>
  </si>
  <si>
    <t>1408 E Union Street</t>
  </si>
  <si>
    <t>Average:</t>
  </si>
  <si>
    <t>Similar amenities; inferior location.</t>
  </si>
  <si>
    <t>Inferior amenities; mixed office/retail space.</t>
  </si>
  <si>
    <t>Inferior amenities; 59 parking spots; 6,000 retail SF.</t>
  </si>
  <si>
    <t>Similar amenities; 5 levels of underground parking; 26,000 retail SF.</t>
  </si>
  <si>
    <t>Market Statistics for Seattle Apartments</t>
  </si>
  <si>
    <t>Broader Market</t>
  </si>
  <si>
    <t>(Seattle Metro):</t>
  </si>
  <si>
    <t>Submarket</t>
  </si>
  <si>
    <t>(Capitol Hill):</t>
  </si>
  <si>
    <t>(Urban King County):</t>
  </si>
  <si>
    <t>Neighborhood</t>
  </si>
  <si>
    <t>2011 (Actual):</t>
  </si>
  <si>
    <t>2012 (Actual):</t>
  </si>
  <si>
    <t>2013 (Actual):</t>
  </si>
  <si>
    <t>2014 (Actual):</t>
  </si>
  <si>
    <t>2015 (Projected):</t>
  </si>
  <si>
    <t>2016 (Projected):</t>
  </si>
  <si>
    <t>2017 (Projected):</t>
  </si>
  <si>
    <t>2018 (Projected):</t>
  </si>
  <si>
    <t>2019 (Projected):</t>
  </si>
  <si>
    <t>Avg. Rent per Unit (Q4 2014):</t>
  </si>
  <si>
    <t>Avg. Rent per SF: (Q4 2014):</t>
  </si>
  <si>
    <t>Rental Statistics:</t>
  </si>
  <si>
    <t>Net Completions (Units):</t>
  </si>
  <si>
    <t>Net Absorptions (Units):</t>
  </si>
  <si>
    <t>N / A</t>
  </si>
  <si>
    <t>Vacancy Rates:</t>
  </si>
  <si>
    <t>2010 (Actual):</t>
  </si>
  <si>
    <t>Total Persons:</t>
  </si>
  <si>
    <t>Population:</t>
  </si>
  <si>
    <t>% Change:</t>
  </si>
  <si>
    <t>2009 (Actual):</t>
  </si>
  <si>
    <t>Demographics for Broader Market (King and Snohomish Counties)</t>
  </si>
  <si>
    <t>Year:</t>
  </si>
  <si>
    <t>Total Jobs:</t>
  </si>
  <si>
    <t>Employment:</t>
  </si>
  <si>
    <t>Households:</t>
  </si>
  <si>
    <t>Replacement Cost Analysis</t>
  </si>
  <si>
    <t>% Total:</t>
  </si>
  <si>
    <t>Units:</t>
  </si>
  <si>
    <t>Category / Line Item:</t>
  </si>
  <si>
    <t>Land Acquisition Costs:</t>
  </si>
  <si>
    <t>Total Land Costs:</t>
  </si>
  <si>
    <t>Land Purchase:</t>
  </si>
  <si>
    <t xml:space="preserve">$ per </t>
  </si>
  <si>
    <t>$ per</t>
  </si>
  <si>
    <t>The Lyric (215 10th Ave E) - Property Statistics:</t>
  </si>
  <si>
    <t>Rentable SF:</t>
  </si>
  <si>
    <t>Hard Costs:</t>
  </si>
  <si>
    <t>Total Hard Costs:</t>
  </si>
  <si>
    <t>Contingency:</t>
  </si>
  <si>
    <t>Contingency (3%):</t>
  </si>
  <si>
    <t>General Contractor Fee (5%):</t>
  </si>
  <si>
    <t>Soft Costs:</t>
  </si>
  <si>
    <t>Architectural &amp; Engineering:</t>
  </si>
  <si>
    <t>Real Estate Taxes:</t>
  </si>
  <si>
    <t>Engineering:</t>
  </si>
  <si>
    <t>Startup Expenses:</t>
  </si>
  <si>
    <t>Legal &amp; Closing:</t>
  </si>
  <si>
    <t>Impact &amp; Permit Fees:</t>
  </si>
  <si>
    <t>Total Soft Costs:</t>
  </si>
  <si>
    <t>Total in $ as Stated:</t>
  </si>
  <si>
    <r>
      <t>Financing Costs</t>
    </r>
    <r>
      <rPr>
        <b/>
        <vertAlign val="superscript"/>
        <sz val="11"/>
        <color theme="1"/>
        <rFont val="Calibri"/>
        <family val="2"/>
      </rPr>
      <t>(1)</t>
    </r>
    <r>
      <rPr>
        <b/>
        <sz val="11"/>
        <color theme="1"/>
        <rFont val="Calibri"/>
        <family val="2"/>
      </rPr>
      <t>:</t>
    </r>
  </si>
  <si>
    <t>Total Development Costs:</t>
  </si>
  <si>
    <t>Development Profit (20%):</t>
  </si>
  <si>
    <t>Total Replacement Cost:</t>
  </si>
  <si>
    <t>Taxes &amp; Fees:</t>
  </si>
  <si>
    <t>Expense Category:</t>
  </si>
  <si>
    <t>Excavation &amp; Construction:</t>
  </si>
  <si>
    <t>Development Fee:</t>
  </si>
  <si>
    <t>Office and Common Area FF&amp;E:</t>
  </si>
  <si>
    <t>% Driver:</t>
  </si>
  <si>
    <t>Dev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</si>
</sst>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%"/>
    <numFmt numFmtId="166" formatCode="0.00%;\(0.00%\)"/>
    <numFmt numFmtId="167" formatCode="#,##0_);\(#,##0\);\-_);@_)"/>
  </numFmts>
  <fonts count="11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u/>
      <sz val="11"/>
      <color indexed="9"/>
      <name val="Calibri"/>
      <family val="2"/>
      <scheme val="minor"/>
    </font>
    <font>
      <sz val="11"/>
      <color rgb="FF0000FF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42" fontId="5" fillId="0" borderId="0" xfId="0" applyNumberFormat="1" applyFont="1"/>
    <xf numFmtId="41" fontId="5" fillId="0" borderId="0" xfId="0" applyNumberFormat="1" applyFont="1"/>
    <xf numFmtId="44" fontId="0" fillId="0" borderId="0" xfId="0" applyNumberFormat="1"/>
    <xf numFmtId="43" fontId="0" fillId="0" borderId="0" xfId="0" applyNumberFormat="1"/>
    <xf numFmtId="9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/>
    <xf numFmtId="42" fontId="0" fillId="0" borderId="0" xfId="0" applyNumberFormat="1"/>
    <xf numFmtId="41" fontId="0" fillId="0" borderId="0" xfId="0" applyNumberFormat="1"/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3" fillId="2" borderId="0" xfId="0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 wrapText="1"/>
    </xf>
    <xf numFmtId="9" fontId="5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4" fontId="5" fillId="0" borderId="0" xfId="0" applyNumberFormat="1" applyFont="1"/>
    <xf numFmtId="0" fontId="1" fillId="3" borderId="1" xfId="0" applyFont="1" applyFill="1" applyBorder="1" applyAlignment="1">
      <alignment horizontal="centerContinuous"/>
    </xf>
    <xf numFmtId="0" fontId="1" fillId="3" borderId="0" xfId="0" applyFont="1" applyFill="1" applyBorder="1" applyAlignment="1"/>
    <xf numFmtId="166" fontId="5" fillId="0" borderId="0" xfId="0" applyNumberFormat="1" applyFont="1" applyAlignment="1">
      <alignment horizontal="center"/>
    </xf>
    <xf numFmtId="0" fontId="1" fillId="4" borderId="2" xfId="0" applyFont="1" applyFill="1" applyBorder="1"/>
    <xf numFmtId="3" fontId="1" fillId="4" borderId="2" xfId="0" applyNumberFormat="1" applyFont="1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42" fontId="1" fillId="4" borderId="2" xfId="0" applyNumberFormat="1" applyFont="1" applyFill="1" applyBorder="1"/>
    <xf numFmtId="44" fontId="1" fillId="4" borderId="2" xfId="0" applyNumberFormat="1" applyFont="1" applyFill="1" applyBorder="1"/>
    <xf numFmtId="0" fontId="1" fillId="4" borderId="3" xfId="0" applyFont="1" applyFill="1" applyBorder="1"/>
    <xf numFmtId="3" fontId="1" fillId="4" borderId="3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42" fontId="1" fillId="4" borderId="3" xfId="0" applyNumberFormat="1" applyFont="1" applyFill="1" applyBorder="1"/>
    <xf numFmtId="44" fontId="1" fillId="4" borderId="3" xfId="0" applyNumberFormat="1" applyFont="1" applyFill="1" applyBorder="1"/>
    <xf numFmtId="0" fontId="1" fillId="4" borderId="4" xfId="0" applyFont="1" applyFill="1" applyBorder="1"/>
    <xf numFmtId="0" fontId="0" fillId="4" borderId="2" xfId="0" applyFill="1" applyBorder="1"/>
    <xf numFmtId="3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42" fontId="7" fillId="4" borderId="2" xfId="0" applyNumberFormat="1" applyFont="1" applyFill="1" applyBorder="1"/>
    <xf numFmtId="44" fontId="7" fillId="4" borderId="2" xfId="0" applyNumberFormat="1" applyFont="1" applyFill="1" applyBorder="1"/>
    <xf numFmtId="10" fontId="7" fillId="4" borderId="5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41" fontId="7" fillId="4" borderId="2" xfId="0" applyNumberFormat="1" applyFont="1" applyFill="1" applyBorder="1"/>
    <xf numFmtId="9" fontId="7" fillId="4" borderId="2" xfId="0" applyNumberFormat="1" applyFont="1" applyFill="1" applyBorder="1" applyAlignment="1">
      <alignment horizontal="center"/>
    </xf>
    <xf numFmtId="9" fontId="7" fillId="4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1" fillId="0" borderId="6" xfId="0" applyFont="1" applyBorder="1"/>
    <xf numFmtId="41" fontId="1" fillId="0" borderId="6" xfId="0" applyNumberFormat="1" applyFont="1" applyBorder="1"/>
    <xf numFmtId="41" fontId="7" fillId="0" borderId="6" xfId="0" applyNumberFormat="1" applyFont="1" applyBorder="1"/>
    <xf numFmtId="43" fontId="1" fillId="0" borderId="6" xfId="0" applyNumberFormat="1" applyFont="1" applyBorder="1"/>
    <xf numFmtId="41" fontId="10" fillId="0" borderId="0" xfId="0" applyNumberFormat="1" applyFont="1"/>
    <xf numFmtId="41" fontId="1" fillId="0" borderId="0" xfId="0" applyNumberFormat="1" applyFont="1"/>
    <xf numFmtId="41" fontId="1" fillId="4" borderId="2" xfId="0" applyNumberFormat="1" applyFont="1" applyFill="1" applyBorder="1"/>
    <xf numFmtId="0" fontId="0" fillId="4" borderId="3" xfId="0" applyFill="1" applyBorder="1"/>
    <xf numFmtId="43" fontId="1" fillId="4" borderId="2" xfId="0" applyNumberFormat="1" applyFont="1" applyFill="1" applyBorder="1"/>
    <xf numFmtId="0" fontId="1" fillId="0" borderId="0" xfId="0" applyFont="1" applyFill="1" applyBorder="1"/>
    <xf numFmtId="41" fontId="1" fillId="0" borderId="0" xfId="0" applyNumberFormat="1" applyFont="1" applyFill="1" applyBorder="1"/>
    <xf numFmtId="0" fontId="0" fillId="0" borderId="0" xfId="0" applyFill="1" applyBorder="1"/>
    <xf numFmtId="43" fontId="1" fillId="0" borderId="0" xfId="0" applyNumberFormat="1" applyFont="1" applyFill="1" applyBorder="1"/>
    <xf numFmtId="43" fontId="1" fillId="0" borderId="0" xfId="0" applyNumberFormat="1" applyFont="1"/>
    <xf numFmtId="41" fontId="8" fillId="0" borderId="0" xfId="0" applyNumberFormat="1" applyFont="1"/>
    <xf numFmtId="165" fontId="1" fillId="4" borderId="2" xfId="0" applyNumberFormat="1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41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K77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24.44140625" customWidth="1"/>
    <col min="4" max="7" width="10.77734375" customWidth="1"/>
    <col min="8" max="11" width="12.77734375" customWidth="1"/>
    <col min="12" max="13" width="2.77734375" customWidth="1"/>
  </cols>
  <sheetData>
    <row r="2" spans="2:11" x14ac:dyDescent="0.3">
      <c r="B2" s="1" t="s">
        <v>0</v>
      </c>
      <c r="C2" s="2"/>
      <c r="D2" s="2"/>
      <c r="E2" s="2"/>
      <c r="F2" s="2"/>
      <c r="G2" s="2"/>
      <c r="H2" s="3"/>
      <c r="I2" s="3"/>
      <c r="J2" s="3"/>
      <c r="K2" s="3"/>
    </row>
    <row r="4" spans="2:11" x14ac:dyDescent="0.3">
      <c r="C4" s="6"/>
      <c r="D4" s="6"/>
      <c r="E4" s="6"/>
      <c r="F4" s="6"/>
      <c r="G4" s="6"/>
      <c r="H4" s="4" t="s">
        <v>6</v>
      </c>
      <c r="I4" s="4" t="s">
        <v>6</v>
      </c>
      <c r="J4" s="4" t="s">
        <v>9</v>
      </c>
      <c r="K4" s="4" t="s">
        <v>9</v>
      </c>
    </row>
    <row r="5" spans="2:11" ht="16.2" x14ac:dyDescent="0.3"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7</v>
      </c>
      <c r="I5" s="5" t="s">
        <v>8</v>
      </c>
      <c r="J5" s="5" t="s">
        <v>14</v>
      </c>
      <c r="K5" s="5" t="s">
        <v>15</v>
      </c>
    </row>
    <row r="7" spans="2:11" x14ac:dyDescent="0.3">
      <c r="C7" t="s">
        <v>10</v>
      </c>
      <c r="D7" s="8">
        <v>5</v>
      </c>
      <c r="E7" s="13">
        <f>+D7/D$51</f>
        <v>2.1367521367521368E-2</v>
      </c>
      <c r="F7" s="8">
        <v>456</v>
      </c>
      <c r="G7" s="7">
        <f>+F7*D7</f>
        <v>2280</v>
      </c>
      <c r="H7" s="9">
        <v>1550</v>
      </c>
      <c r="I7" s="11">
        <f>+H7/$F7</f>
        <v>3.3991228070175437</v>
      </c>
      <c r="J7" s="9">
        <v>1540</v>
      </c>
      <c r="K7" s="11">
        <f>+J7/$F7</f>
        <v>3.3771929824561404</v>
      </c>
    </row>
    <row r="8" spans="2:11" x14ac:dyDescent="0.3">
      <c r="C8" t="s">
        <v>11</v>
      </c>
      <c r="D8" s="8">
        <v>10</v>
      </c>
      <c r="E8" s="13">
        <f t="shared" ref="E8:E12" si="0">+D8/D$51</f>
        <v>4.2735042735042736E-2</v>
      </c>
      <c r="F8" s="8">
        <v>460</v>
      </c>
      <c r="G8" s="7">
        <f t="shared" ref="G8:G12" si="1">+F8*D8</f>
        <v>4600</v>
      </c>
      <c r="H8" s="10">
        <v>1550</v>
      </c>
      <c r="I8" s="12">
        <f t="shared" ref="I8:K9" si="2">+H8/$F8</f>
        <v>3.3695652173913042</v>
      </c>
      <c r="J8" s="10">
        <v>1540</v>
      </c>
      <c r="K8" s="12">
        <f t="shared" si="2"/>
        <v>3.347826086956522</v>
      </c>
    </row>
    <row r="9" spans="2:11" x14ac:dyDescent="0.3">
      <c r="C9" t="s">
        <v>12</v>
      </c>
      <c r="D9" s="8">
        <v>10</v>
      </c>
      <c r="E9" s="13">
        <f t="shared" si="0"/>
        <v>4.2735042735042736E-2</v>
      </c>
      <c r="F9" s="8">
        <v>547</v>
      </c>
      <c r="G9" s="7">
        <f t="shared" si="1"/>
        <v>5470</v>
      </c>
      <c r="H9" s="10">
        <v>1595</v>
      </c>
      <c r="I9" s="12">
        <f t="shared" si="2"/>
        <v>2.9159049360146252</v>
      </c>
      <c r="J9" s="10">
        <v>1580</v>
      </c>
      <c r="K9" s="12">
        <f t="shared" si="2"/>
        <v>2.8884826325411335</v>
      </c>
    </row>
    <row r="10" spans="2:11" x14ac:dyDescent="0.3">
      <c r="C10" t="s">
        <v>30</v>
      </c>
      <c r="D10" s="8">
        <v>2</v>
      </c>
      <c r="E10" s="13">
        <f t="shared" si="0"/>
        <v>8.5470085470085479E-3</v>
      </c>
      <c r="F10" s="8">
        <v>450</v>
      </c>
      <c r="G10" s="7">
        <f t="shared" si="1"/>
        <v>900</v>
      </c>
      <c r="H10" s="10">
        <v>1495</v>
      </c>
      <c r="I10" s="12">
        <f t="shared" ref="I10" si="3">+H10/$F10</f>
        <v>3.3222222222222224</v>
      </c>
      <c r="J10" s="10">
        <v>1485</v>
      </c>
      <c r="K10" s="12">
        <f t="shared" ref="K10" si="4">+J10/$F10</f>
        <v>3.3</v>
      </c>
    </row>
    <row r="11" spans="2:11" x14ac:dyDescent="0.3">
      <c r="C11" t="s">
        <v>31</v>
      </c>
      <c r="D11" s="8">
        <v>2</v>
      </c>
      <c r="E11" s="13">
        <f t="shared" si="0"/>
        <v>8.5470085470085479E-3</v>
      </c>
      <c r="F11" s="8">
        <v>540</v>
      </c>
      <c r="G11" s="7">
        <f t="shared" si="1"/>
        <v>1080</v>
      </c>
      <c r="H11" s="10">
        <v>1650</v>
      </c>
      <c r="I11" s="12">
        <f t="shared" ref="I11" si="5">+H11/$F11</f>
        <v>3.0555555555555554</v>
      </c>
      <c r="J11" s="10">
        <v>1640</v>
      </c>
      <c r="K11" s="12">
        <f t="shared" ref="K11" si="6">+J11/$F11</f>
        <v>3.0370370370370372</v>
      </c>
    </row>
    <row r="12" spans="2:11" x14ac:dyDescent="0.3">
      <c r="C12" t="s">
        <v>32</v>
      </c>
      <c r="D12" s="8">
        <v>5</v>
      </c>
      <c r="E12" s="13">
        <f t="shared" si="0"/>
        <v>2.1367521367521368E-2</v>
      </c>
      <c r="F12" s="8">
        <v>580</v>
      </c>
      <c r="G12" s="7">
        <f t="shared" si="1"/>
        <v>2900</v>
      </c>
      <c r="H12" s="10">
        <v>1800</v>
      </c>
      <c r="I12" s="12">
        <f t="shared" ref="I12" si="7">+H12/$F12</f>
        <v>3.103448275862069</v>
      </c>
      <c r="J12" s="10">
        <v>1790</v>
      </c>
      <c r="K12" s="12">
        <f t="shared" ref="K12" si="8">+J12/$F12</f>
        <v>3.0862068965517242</v>
      </c>
    </row>
    <row r="13" spans="2:11" x14ac:dyDescent="0.3">
      <c r="C13" s="31" t="s">
        <v>13</v>
      </c>
      <c r="D13" s="32">
        <f>SUM(D7:D12)</f>
        <v>34</v>
      </c>
      <c r="E13" s="33">
        <f>SUM(E7:E12)</f>
        <v>0.14529914529914528</v>
      </c>
      <c r="F13" s="32">
        <f>+G13/D13</f>
        <v>506.76470588235293</v>
      </c>
      <c r="G13" s="32">
        <f>SUM(G7:G12)</f>
        <v>17230</v>
      </c>
      <c r="H13" s="34">
        <f>SUMPRODUCT($D7:$D12,H7:H12)/$D13</f>
        <v>1602.6470588235295</v>
      </c>
      <c r="I13" s="35">
        <f>SUMPRODUCT($D7:$D12,H7:H12)/$G13</f>
        <v>3.1625072547881601</v>
      </c>
      <c r="J13" s="34">
        <f>SUMPRODUCT($D7:$D12,J7:J12)/$D13</f>
        <v>1591.1764705882354</v>
      </c>
      <c r="K13" s="35">
        <f>SUMPRODUCT($D7:$D12,J7:J12)/$G13</f>
        <v>3.1398723157283808</v>
      </c>
    </row>
    <row r="15" spans="2:11" x14ac:dyDescent="0.3">
      <c r="C15" t="s">
        <v>16</v>
      </c>
      <c r="D15" s="8">
        <v>2</v>
      </c>
      <c r="E15" s="13">
        <f t="shared" ref="E15:E22" si="9">+D15/D$51</f>
        <v>8.5470085470085479E-3</v>
      </c>
      <c r="F15" s="8">
        <v>550</v>
      </c>
      <c r="G15" s="7">
        <f t="shared" ref="G15:G17" si="10">+F15*D15</f>
        <v>1100</v>
      </c>
      <c r="H15" s="9">
        <v>1900</v>
      </c>
      <c r="I15" s="11">
        <f t="shared" ref="I15:I28" si="11">+H15/$F15</f>
        <v>3.4545454545454546</v>
      </c>
      <c r="J15" s="9">
        <v>1875</v>
      </c>
      <c r="K15" s="11">
        <f t="shared" ref="K15:K28" si="12">+J15/$F15</f>
        <v>3.4090909090909092</v>
      </c>
    </row>
    <row r="16" spans="2:11" x14ac:dyDescent="0.3">
      <c r="C16" t="s">
        <v>17</v>
      </c>
      <c r="D16" s="8">
        <v>2</v>
      </c>
      <c r="E16" s="13">
        <f t="shared" si="9"/>
        <v>8.5470085470085479E-3</v>
      </c>
      <c r="F16" s="8">
        <v>620</v>
      </c>
      <c r="G16" s="7">
        <f t="shared" si="10"/>
        <v>1240</v>
      </c>
      <c r="H16" s="10">
        <v>2250</v>
      </c>
      <c r="I16" s="12">
        <f t="shared" si="11"/>
        <v>3.629032258064516</v>
      </c>
      <c r="J16" s="10">
        <v>2230</v>
      </c>
      <c r="K16" s="12">
        <f t="shared" si="12"/>
        <v>3.596774193548387</v>
      </c>
    </row>
    <row r="17" spans="3:11" x14ac:dyDescent="0.3">
      <c r="C17" t="s">
        <v>18</v>
      </c>
      <c r="D17" s="8">
        <v>10</v>
      </c>
      <c r="E17" s="13">
        <f t="shared" si="9"/>
        <v>4.2735042735042736E-2</v>
      </c>
      <c r="F17" s="8">
        <v>615</v>
      </c>
      <c r="G17" s="7">
        <f t="shared" si="10"/>
        <v>6150</v>
      </c>
      <c r="H17" s="10">
        <v>2125</v>
      </c>
      <c r="I17" s="12">
        <f t="shared" si="11"/>
        <v>3.4552845528455283</v>
      </c>
      <c r="J17" s="10">
        <v>2125</v>
      </c>
      <c r="K17" s="12">
        <f t="shared" si="12"/>
        <v>3.4552845528455283</v>
      </c>
    </row>
    <row r="18" spans="3:11" x14ac:dyDescent="0.3">
      <c r="C18" t="s">
        <v>19</v>
      </c>
      <c r="D18" s="8">
        <v>6</v>
      </c>
      <c r="E18" s="13">
        <f t="shared" si="9"/>
        <v>2.564102564102564E-2</v>
      </c>
      <c r="F18" s="8">
        <v>515</v>
      </c>
      <c r="G18" s="7">
        <f t="shared" ref="G18:G22" si="13">+F18*D18</f>
        <v>3090</v>
      </c>
      <c r="H18" s="10">
        <v>2010</v>
      </c>
      <c r="I18" s="12">
        <f t="shared" ref="I18" si="14">+H18/$F18</f>
        <v>3.9029126213592233</v>
      </c>
      <c r="J18" s="10">
        <v>1990</v>
      </c>
      <c r="K18" s="12">
        <f t="shared" ref="K18" si="15">+J18/$F18</f>
        <v>3.8640776699029127</v>
      </c>
    </row>
    <row r="19" spans="3:11" x14ac:dyDescent="0.3">
      <c r="C19" t="s">
        <v>20</v>
      </c>
      <c r="D19" s="8">
        <v>4</v>
      </c>
      <c r="E19" s="13">
        <f t="shared" si="9"/>
        <v>1.7094017094017096E-2</v>
      </c>
      <c r="F19" s="8">
        <v>605</v>
      </c>
      <c r="G19" s="7">
        <f t="shared" si="13"/>
        <v>2420</v>
      </c>
      <c r="H19" s="10">
        <v>2110</v>
      </c>
      <c r="I19" s="12">
        <f t="shared" si="11"/>
        <v>3.4876033057851239</v>
      </c>
      <c r="J19" s="10">
        <v>2090</v>
      </c>
      <c r="K19" s="12">
        <f t="shared" si="12"/>
        <v>3.4545454545454546</v>
      </c>
    </row>
    <row r="20" spans="3:11" x14ac:dyDescent="0.3">
      <c r="C20" t="s">
        <v>21</v>
      </c>
      <c r="D20" s="8">
        <v>8</v>
      </c>
      <c r="E20" s="13">
        <f t="shared" si="9"/>
        <v>3.4188034188034191E-2</v>
      </c>
      <c r="F20" s="8">
        <v>605</v>
      </c>
      <c r="G20" s="7">
        <f t="shared" si="13"/>
        <v>4840</v>
      </c>
      <c r="H20" s="10">
        <v>1925</v>
      </c>
      <c r="I20" s="12">
        <f t="shared" si="11"/>
        <v>3.1818181818181817</v>
      </c>
      <c r="J20" s="10">
        <v>1905</v>
      </c>
      <c r="K20" s="12">
        <f t="shared" si="12"/>
        <v>3.1487603305785123</v>
      </c>
    </row>
    <row r="21" spans="3:11" x14ac:dyDescent="0.3">
      <c r="C21" t="s">
        <v>22</v>
      </c>
      <c r="D21" s="8">
        <v>15</v>
      </c>
      <c r="E21" s="13">
        <f t="shared" si="9"/>
        <v>6.4102564102564097E-2</v>
      </c>
      <c r="F21" s="8">
        <v>645</v>
      </c>
      <c r="G21" s="7">
        <f t="shared" si="13"/>
        <v>9675</v>
      </c>
      <c r="H21" s="10">
        <v>2295</v>
      </c>
      <c r="I21" s="12">
        <f t="shared" si="11"/>
        <v>3.558139534883721</v>
      </c>
      <c r="J21" s="10">
        <v>2285</v>
      </c>
      <c r="K21" s="12">
        <f t="shared" si="12"/>
        <v>3.5426356589147288</v>
      </c>
    </row>
    <row r="22" spans="3:11" x14ac:dyDescent="0.3">
      <c r="C22" t="s">
        <v>23</v>
      </c>
      <c r="D22" s="8">
        <v>10</v>
      </c>
      <c r="E22" s="13">
        <f t="shared" si="9"/>
        <v>4.2735042735042736E-2</v>
      </c>
      <c r="F22" s="8">
        <v>685</v>
      </c>
      <c r="G22" s="7">
        <f t="shared" si="13"/>
        <v>6850</v>
      </c>
      <c r="H22" s="10">
        <v>2185</v>
      </c>
      <c r="I22" s="12">
        <f t="shared" si="11"/>
        <v>3.1897810218978102</v>
      </c>
      <c r="J22" s="10">
        <v>2185</v>
      </c>
      <c r="K22" s="12">
        <f t="shared" si="12"/>
        <v>3.1897810218978102</v>
      </c>
    </row>
    <row r="23" spans="3:11" x14ac:dyDescent="0.3">
      <c r="C23" t="s">
        <v>24</v>
      </c>
      <c r="D23" s="8">
        <v>4</v>
      </c>
      <c r="E23" s="13">
        <f>+D23/D$51</f>
        <v>1.7094017094017096E-2</v>
      </c>
      <c r="F23" s="8">
        <v>811</v>
      </c>
      <c r="G23" s="7">
        <f t="shared" ref="G23:G27" si="16">+F23*D23</f>
        <v>3244</v>
      </c>
      <c r="H23" s="10">
        <v>2475</v>
      </c>
      <c r="I23" s="12">
        <f t="shared" si="11"/>
        <v>3.0517879161528976</v>
      </c>
      <c r="J23" s="10">
        <v>2450</v>
      </c>
      <c r="K23" s="12">
        <f t="shared" si="12"/>
        <v>3.0209617755856968</v>
      </c>
    </row>
    <row r="24" spans="3:11" x14ac:dyDescent="0.3">
      <c r="C24" t="s">
        <v>25</v>
      </c>
      <c r="D24" s="8">
        <v>8</v>
      </c>
      <c r="E24" s="13">
        <f t="shared" ref="E24:E28" si="17">+D24/D$51</f>
        <v>3.4188034188034191E-2</v>
      </c>
      <c r="F24" s="8">
        <v>790</v>
      </c>
      <c r="G24" s="7">
        <f t="shared" si="16"/>
        <v>6320</v>
      </c>
      <c r="H24" s="10">
        <v>2300</v>
      </c>
      <c r="I24" s="12">
        <f t="shared" si="11"/>
        <v>2.9113924050632911</v>
      </c>
      <c r="J24" s="10">
        <v>2275</v>
      </c>
      <c r="K24" s="12">
        <f t="shared" si="12"/>
        <v>2.8797468354430378</v>
      </c>
    </row>
    <row r="25" spans="3:11" x14ac:dyDescent="0.3">
      <c r="C25" t="s">
        <v>26</v>
      </c>
      <c r="D25" s="8">
        <v>15</v>
      </c>
      <c r="E25" s="13">
        <f t="shared" si="17"/>
        <v>6.4102564102564097E-2</v>
      </c>
      <c r="F25" s="8">
        <v>850</v>
      </c>
      <c r="G25" s="7">
        <f t="shared" si="16"/>
        <v>12750</v>
      </c>
      <c r="H25" s="10">
        <v>2760</v>
      </c>
      <c r="I25" s="12">
        <f t="shared" si="11"/>
        <v>3.2470588235294118</v>
      </c>
      <c r="J25" s="10">
        <v>2750</v>
      </c>
      <c r="K25" s="12">
        <f t="shared" si="12"/>
        <v>3.2352941176470589</v>
      </c>
    </row>
    <row r="26" spans="3:11" x14ac:dyDescent="0.3">
      <c r="C26" t="s">
        <v>27</v>
      </c>
      <c r="D26" s="8">
        <v>2</v>
      </c>
      <c r="E26" s="13">
        <f t="shared" si="17"/>
        <v>8.5470085470085479E-3</v>
      </c>
      <c r="F26" s="8">
        <v>790</v>
      </c>
      <c r="G26" s="7">
        <f t="shared" si="16"/>
        <v>1580</v>
      </c>
      <c r="H26" s="10">
        <v>2475</v>
      </c>
      <c r="I26" s="12">
        <f t="shared" si="11"/>
        <v>3.1329113924050631</v>
      </c>
      <c r="J26" s="10">
        <v>2450</v>
      </c>
      <c r="K26" s="12">
        <f t="shared" si="12"/>
        <v>3.1012658227848102</v>
      </c>
    </row>
    <row r="27" spans="3:11" x14ac:dyDescent="0.3">
      <c r="C27" t="s">
        <v>28</v>
      </c>
      <c r="D27" s="8">
        <v>4</v>
      </c>
      <c r="E27" s="13">
        <f t="shared" si="17"/>
        <v>1.7094017094017096E-2</v>
      </c>
      <c r="F27" s="8">
        <v>823</v>
      </c>
      <c r="G27" s="7">
        <f t="shared" si="16"/>
        <v>3292</v>
      </c>
      <c r="H27" s="10">
        <v>2595</v>
      </c>
      <c r="I27" s="12">
        <f t="shared" si="11"/>
        <v>3.1530984204131229</v>
      </c>
      <c r="J27" s="10">
        <v>2585</v>
      </c>
      <c r="K27" s="12">
        <f t="shared" si="12"/>
        <v>3.1409477521263671</v>
      </c>
    </row>
    <row r="28" spans="3:11" x14ac:dyDescent="0.3">
      <c r="C28" t="s">
        <v>29</v>
      </c>
      <c r="D28" s="8">
        <v>4</v>
      </c>
      <c r="E28" s="13">
        <f t="shared" si="17"/>
        <v>1.7094017094017096E-2</v>
      </c>
      <c r="F28" s="8">
        <v>833</v>
      </c>
      <c r="G28" s="7">
        <f t="shared" ref="G28" si="18">+F28*D28</f>
        <v>3332</v>
      </c>
      <c r="H28" s="10">
        <v>2505</v>
      </c>
      <c r="I28" s="12">
        <f t="shared" si="11"/>
        <v>3.0072028811524611</v>
      </c>
      <c r="J28" s="10">
        <v>2480</v>
      </c>
      <c r="K28" s="12">
        <f t="shared" si="12"/>
        <v>2.9771908763505404</v>
      </c>
    </row>
    <row r="29" spans="3:11" x14ac:dyDescent="0.3">
      <c r="C29" s="31" t="s">
        <v>33</v>
      </c>
      <c r="D29" s="32">
        <f>SUM(D15:D28)</f>
        <v>94</v>
      </c>
      <c r="E29" s="33">
        <f>SUM(E15:E28)</f>
        <v>0.40170940170940173</v>
      </c>
      <c r="F29" s="32">
        <f>+G29/D29</f>
        <v>700.88297872340422</v>
      </c>
      <c r="G29" s="32">
        <f>SUM(G15:G28)</f>
        <v>65883</v>
      </c>
      <c r="H29" s="34">
        <f>SUMPRODUCT($D15:$D28,H15:H28)/$D29</f>
        <v>2306.1170212765956</v>
      </c>
      <c r="I29" s="35">
        <f>SUMPRODUCT($D15:$D28,H15:H28)/$G29</f>
        <v>3.2903025059575306</v>
      </c>
      <c r="J29" s="34">
        <f>SUMPRODUCT($D15:$D28,J15:J28)/$D29</f>
        <v>2292.9255319148938</v>
      </c>
      <c r="K29" s="35">
        <f>SUMPRODUCT($D15:$D28,J15:J28)/$G29</f>
        <v>3.2714812622376028</v>
      </c>
    </row>
    <row r="31" spans="3:11" x14ac:dyDescent="0.3">
      <c r="C31" t="s">
        <v>35</v>
      </c>
      <c r="D31" s="8">
        <v>10</v>
      </c>
      <c r="E31" s="13">
        <f t="shared" ref="E31:E32" si="19">+D31/D$51</f>
        <v>4.2735042735042736E-2</v>
      </c>
      <c r="F31" s="8">
        <v>845</v>
      </c>
      <c r="G31" s="7">
        <f t="shared" ref="G31:G33" si="20">+F31*D31</f>
        <v>8450</v>
      </c>
      <c r="H31" s="9">
        <v>2810</v>
      </c>
      <c r="I31" s="11">
        <f t="shared" ref="I31:I38" si="21">+H31/$F31</f>
        <v>3.3254437869822486</v>
      </c>
      <c r="J31" s="9">
        <v>2790</v>
      </c>
      <c r="K31" s="11">
        <f t="shared" ref="K31:K38" si="22">+J31/$F31</f>
        <v>3.3017751479289941</v>
      </c>
    </row>
    <row r="32" spans="3:11" x14ac:dyDescent="0.3">
      <c r="C32" t="s">
        <v>36</v>
      </c>
      <c r="D32" s="8">
        <v>5</v>
      </c>
      <c r="E32" s="13">
        <f t="shared" si="19"/>
        <v>2.1367521367521368E-2</v>
      </c>
      <c r="F32" s="8">
        <v>855</v>
      </c>
      <c r="G32" s="7">
        <f t="shared" si="20"/>
        <v>4275</v>
      </c>
      <c r="H32" s="10">
        <v>2925</v>
      </c>
      <c r="I32" s="12">
        <f t="shared" si="21"/>
        <v>3.4210526315789473</v>
      </c>
      <c r="J32" s="10">
        <v>2905</v>
      </c>
      <c r="K32" s="12">
        <f t="shared" si="22"/>
        <v>3.3976608187134505</v>
      </c>
    </row>
    <row r="33" spans="3:11" x14ac:dyDescent="0.3">
      <c r="C33" t="s">
        <v>37</v>
      </c>
      <c r="D33" s="8">
        <v>10</v>
      </c>
      <c r="E33" s="13">
        <f>+D33/D$51</f>
        <v>4.2735042735042736E-2</v>
      </c>
      <c r="F33" s="8">
        <v>975</v>
      </c>
      <c r="G33" s="7">
        <f t="shared" si="20"/>
        <v>9750</v>
      </c>
      <c r="H33" s="10">
        <v>3160</v>
      </c>
      <c r="I33" s="12">
        <f t="shared" si="21"/>
        <v>3.2410256410256411</v>
      </c>
      <c r="J33" s="10">
        <v>3150</v>
      </c>
      <c r="K33" s="12">
        <f t="shared" si="22"/>
        <v>3.2307692307692308</v>
      </c>
    </row>
    <row r="34" spans="3:11" x14ac:dyDescent="0.3">
      <c r="C34" t="s">
        <v>38</v>
      </c>
      <c r="D34" s="8">
        <v>10</v>
      </c>
      <c r="E34" s="13">
        <f t="shared" ref="E34:E38" si="23">+D34/D$51</f>
        <v>4.2735042735042736E-2</v>
      </c>
      <c r="F34" s="8">
        <v>890</v>
      </c>
      <c r="G34" s="7">
        <f t="shared" ref="G34:G38" si="24">+F34*D34</f>
        <v>8900</v>
      </c>
      <c r="H34" s="10">
        <v>2985</v>
      </c>
      <c r="I34" s="12">
        <f t="shared" si="21"/>
        <v>3.3539325842696628</v>
      </c>
      <c r="J34" s="10">
        <v>2975</v>
      </c>
      <c r="K34" s="12">
        <f t="shared" si="22"/>
        <v>3.3426966292134832</v>
      </c>
    </row>
    <row r="35" spans="3:11" x14ac:dyDescent="0.3">
      <c r="C35" t="s">
        <v>39</v>
      </c>
      <c r="D35" s="8">
        <v>1</v>
      </c>
      <c r="E35" s="13">
        <f t="shared" si="23"/>
        <v>4.2735042735042739E-3</v>
      </c>
      <c r="F35" s="8">
        <v>865</v>
      </c>
      <c r="G35" s="7">
        <f t="shared" si="24"/>
        <v>865</v>
      </c>
      <c r="H35" s="10">
        <v>2675</v>
      </c>
      <c r="I35" s="12">
        <f t="shared" si="21"/>
        <v>3.0924855491329479</v>
      </c>
      <c r="J35" s="10">
        <v>2665</v>
      </c>
      <c r="K35" s="12">
        <f t="shared" si="22"/>
        <v>3.0809248554913293</v>
      </c>
    </row>
    <row r="36" spans="3:11" x14ac:dyDescent="0.3">
      <c r="C36" t="s">
        <v>40</v>
      </c>
      <c r="D36" s="8">
        <v>10</v>
      </c>
      <c r="E36" s="13">
        <f t="shared" si="23"/>
        <v>4.2735042735042736E-2</v>
      </c>
      <c r="F36" s="8">
        <v>884</v>
      </c>
      <c r="G36" s="7">
        <f t="shared" si="24"/>
        <v>8840</v>
      </c>
      <c r="H36" s="10">
        <v>2830</v>
      </c>
      <c r="I36" s="12">
        <f t="shared" si="21"/>
        <v>3.2013574660633486</v>
      </c>
      <c r="J36" s="10">
        <v>2830</v>
      </c>
      <c r="K36" s="12">
        <f t="shared" si="22"/>
        <v>3.2013574660633486</v>
      </c>
    </row>
    <row r="37" spans="3:11" x14ac:dyDescent="0.3">
      <c r="C37" t="s">
        <v>41</v>
      </c>
      <c r="D37" s="8">
        <v>5</v>
      </c>
      <c r="E37" s="13">
        <f t="shared" si="23"/>
        <v>2.1367521367521368E-2</v>
      </c>
      <c r="F37" s="8">
        <v>925</v>
      </c>
      <c r="G37" s="7">
        <f t="shared" si="24"/>
        <v>4625</v>
      </c>
      <c r="H37" s="10">
        <v>2985</v>
      </c>
      <c r="I37" s="12">
        <f t="shared" si="21"/>
        <v>3.2270270270270269</v>
      </c>
      <c r="J37" s="10">
        <v>2975</v>
      </c>
      <c r="K37" s="12">
        <f t="shared" si="22"/>
        <v>3.2162162162162162</v>
      </c>
    </row>
    <row r="38" spans="3:11" x14ac:dyDescent="0.3">
      <c r="C38" t="s">
        <v>42</v>
      </c>
      <c r="D38" s="8">
        <v>5</v>
      </c>
      <c r="E38" s="13">
        <f t="shared" si="23"/>
        <v>2.1367521367521368E-2</v>
      </c>
      <c r="F38" s="8">
        <v>915</v>
      </c>
      <c r="G38" s="7">
        <f t="shared" si="24"/>
        <v>4575</v>
      </c>
      <c r="H38" s="10">
        <v>2745</v>
      </c>
      <c r="I38" s="12">
        <f t="shared" si="21"/>
        <v>3</v>
      </c>
      <c r="J38" s="10">
        <v>2735</v>
      </c>
      <c r="K38" s="12">
        <f t="shared" si="22"/>
        <v>2.9890710382513661</v>
      </c>
    </row>
    <row r="39" spans="3:11" x14ac:dyDescent="0.3">
      <c r="C39" s="31" t="s">
        <v>34</v>
      </c>
      <c r="D39" s="32">
        <f>SUM(D31:D38)</f>
        <v>56</v>
      </c>
      <c r="E39" s="33">
        <f>SUM(E31:E38)</f>
        <v>0.23931623931623935</v>
      </c>
      <c r="F39" s="32">
        <f>+G39/D39</f>
        <v>897.85714285714289</v>
      </c>
      <c r="G39" s="32">
        <f>SUM(G31:G38)</f>
        <v>50280</v>
      </c>
      <c r="H39" s="34">
        <f>SUMPRODUCT($D31:$D38,H31:H38)/$D39</f>
        <v>2925</v>
      </c>
      <c r="I39" s="35">
        <f>SUMPRODUCT($D31:$D38,H31:H38)/$G39</f>
        <v>3.2577565632458234</v>
      </c>
      <c r="J39" s="34">
        <f>SUMPRODUCT($D31:$D38,J31:J38)/$D39</f>
        <v>2914.1071428571427</v>
      </c>
      <c r="K39" s="35">
        <f>SUMPRODUCT($D31:$D38,J31:J38)/$G39</f>
        <v>3.2456245027844073</v>
      </c>
    </row>
    <row r="41" spans="3:11" x14ac:dyDescent="0.3">
      <c r="C41" t="s">
        <v>44</v>
      </c>
      <c r="D41" s="8">
        <v>2</v>
      </c>
      <c r="E41" s="13">
        <f t="shared" ref="E41:E42" si="25">+D41/D$51</f>
        <v>8.5470085470085479E-3</v>
      </c>
      <c r="F41" s="8">
        <v>915</v>
      </c>
      <c r="G41" s="7">
        <f t="shared" ref="G41:G48" si="26">+F41*D41</f>
        <v>1830</v>
      </c>
      <c r="H41" s="9">
        <v>2810</v>
      </c>
      <c r="I41" s="11">
        <f t="shared" ref="I41:I48" si="27">+H41/$F41</f>
        <v>3.0710382513661201</v>
      </c>
      <c r="J41" s="9">
        <v>2800</v>
      </c>
      <c r="K41" s="11">
        <f t="shared" ref="K41:K48" si="28">+J41/$F41</f>
        <v>3.0601092896174862</v>
      </c>
    </row>
    <row r="42" spans="3:11" x14ac:dyDescent="0.3">
      <c r="C42" t="s">
        <v>45</v>
      </c>
      <c r="D42" s="8">
        <v>10</v>
      </c>
      <c r="E42" s="13">
        <f t="shared" si="25"/>
        <v>4.2735042735042736E-2</v>
      </c>
      <c r="F42" s="8">
        <v>915</v>
      </c>
      <c r="G42" s="7">
        <f t="shared" si="26"/>
        <v>9150</v>
      </c>
      <c r="H42" s="10">
        <v>2822.5</v>
      </c>
      <c r="I42" s="12">
        <f t="shared" si="27"/>
        <v>3.0846994535519126</v>
      </c>
      <c r="J42" s="10">
        <v>2805</v>
      </c>
      <c r="K42" s="12">
        <f t="shared" si="28"/>
        <v>3.0655737704918034</v>
      </c>
    </row>
    <row r="43" spans="3:11" x14ac:dyDescent="0.3">
      <c r="C43" t="s">
        <v>46</v>
      </c>
      <c r="D43" s="8">
        <v>5</v>
      </c>
      <c r="E43" s="13">
        <f>+D43/D$51</f>
        <v>2.1367521367521368E-2</v>
      </c>
      <c r="F43" s="8">
        <v>875</v>
      </c>
      <c r="G43" s="7">
        <f t="shared" si="26"/>
        <v>4375</v>
      </c>
      <c r="H43" s="10">
        <v>2650</v>
      </c>
      <c r="I43" s="12">
        <f t="shared" si="27"/>
        <v>3.0285714285714285</v>
      </c>
      <c r="J43" s="10">
        <v>2640</v>
      </c>
      <c r="K43" s="12">
        <f t="shared" si="28"/>
        <v>3.0171428571428573</v>
      </c>
    </row>
    <row r="44" spans="3:11" x14ac:dyDescent="0.3">
      <c r="C44" t="s">
        <v>47</v>
      </c>
      <c r="D44" s="8">
        <v>10</v>
      </c>
      <c r="E44" s="13">
        <f t="shared" ref="E44:E48" si="29">+D44/D$51</f>
        <v>4.2735042735042736E-2</v>
      </c>
      <c r="F44" s="8">
        <v>1025</v>
      </c>
      <c r="G44" s="7">
        <f t="shared" si="26"/>
        <v>10250</v>
      </c>
      <c r="H44" s="10">
        <v>2975</v>
      </c>
      <c r="I44" s="12">
        <f t="shared" si="27"/>
        <v>2.9024390243902438</v>
      </c>
      <c r="J44" s="10">
        <v>2950</v>
      </c>
      <c r="K44" s="12">
        <f t="shared" si="28"/>
        <v>2.8780487804878048</v>
      </c>
    </row>
    <row r="45" spans="3:11" x14ac:dyDescent="0.3">
      <c r="C45" t="s">
        <v>48</v>
      </c>
      <c r="D45" s="8">
        <v>5</v>
      </c>
      <c r="E45" s="13">
        <f t="shared" si="29"/>
        <v>2.1367521367521368E-2</v>
      </c>
      <c r="F45" s="8">
        <v>992</v>
      </c>
      <c r="G45" s="7">
        <f t="shared" si="26"/>
        <v>4960</v>
      </c>
      <c r="H45" s="10">
        <f>AVERAGE(2855,3125)</f>
        <v>2990</v>
      </c>
      <c r="I45" s="12">
        <f t="shared" si="27"/>
        <v>3.0141129032258065</v>
      </c>
      <c r="J45" s="10">
        <v>2975</v>
      </c>
      <c r="K45" s="12">
        <f t="shared" si="28"/>
        <v>2.998991935483871</v>
      </c>
    </row>
    <row r="46" spans="3:11" x14ac:dyDescent="0.3">
      <c r="C46" t="s">
        <v>49</v>
      </c>
      <c r="D46" s="8">
        <v>5</v>
      </c>
      <c r="E46" s="13">
        <f t="shared" si="29"/>
        <v>2.1367521367521368E-2</v>
      </c>
      <c r="F46" s="8">
        <v>1142</v>
      </c>
      <c r="G46" s="7">
        <f t="shared" si="26"/>
        <v>5710</v>
      </c>
      <c r="H46" s="10">
        <f>AVERAGE(2995,3395)</f>
        <v>3195</v>
      </c>
      <c r="I46" s="12">
        <f t="shared" si="27"/>
        <v>2.7977232924693518</v>
      </c>
      <c r="J46" s="10">
        <v>3175</v>
      </c>
      <c r="K46" s="12">
        <f t="shared" si="28"/>
        <v>2.7802101576182134</v>
      </c>
    </row>
    <row r="47" spans="3:11" x14ac:dyDescent="0.3">
      <c r="C47" t="s">
        <v>50</v>
      </c>
      <c r="D47" s="8">
        <v>8</v>
      </c>
      <c r="E47" s="13">
        <f t="shared" si="29"/>
        <v>3.4188034188034191E-2</v>
      </c>
      <c r="F47" s="8">
        <v>1134</v>
      </c>
      <c r="G47" s="7">
        <f t="shared" si="26"/>
        <v>9072</v>
      </c>
      <c r="H47" s="10">
        <v>3627.5</v>
      </c>
      <c r="I47" s="12">
        <f t="shared" si="27"/>
        <v>3.198853615520282</v>
      </c>
      <c r="J47" s="10">
        <v>3605</v>
      </c>
      <c r="K47" s="12">
        <f t="shared" si="28"/>
        <v>3.1790123456790123</v>
      </c>
    </row>
    <row r="48" spans="3:11" x14ac:dyDescent="0.3">
      <c r="C48" t="s">
        <v>51</v>
      </c>
      <c r="D48" s="8">
        <v>5</v>
      </c>
      <c r="E48" s="13">
        <f t="shared" si="29"/>
        <v>2.1367521367521368E-2</v>
      </c>
      <c r="F48" s="8">
        <v>1495</v>
      </c>
      <c r="G48" s="7">
        <f t="shared" si="26"/>
        <v>7475</v>
      </c>
      <c r="H48" s="10">
        <v>4035</v>
      </c>
      <c r="I48" s="12">
        <f t="shared" si="27"/>
        <v>2.6989966555183948</v>
      </c>
      <c r="J48" s="10">
        <v>4015</v>
      </c>
      <c r="K48" s="12">
        <f t="shared" si="28"/>
        <v>2.6856187290969902</v>
      </c>
    </row>
    <row r="49" spans="3:11" x14ac:dyDescent="0.3">
      <c r="C49" s="31" t="s">
        <v>43</v>
      </c>
      <c r="D49" s="32">
        <f>SUM(D41:D48)</f>
        <v>50</v>
      </c>
      <c r="E49" s="33">
        <f>SUM(E41:E48)</f>
        <v>0.21367521367521367</v>
      </c>
      <c r="F49" s="32">
        <f>+G49/D49</f>
        <v>1056.44</v>
      </c>
      <c r="G49" s="32">
        <f>SUM(G41:G48)</f>
        <v>52822</v>
      </c>
      <c r="H49" s="34">
        <f>SUMPRODUCT($D41:$D48,H41:H48)/$D49</f>
        <v>3139.3</v>
      </c>
      <c r="I49" s="35">
        <f>SUMPRODUCT($D41:$D48,H41:H48)/$G49</f>
        <v>2.9715838097762295</v>
      </c>
      <c r="J49" s="34">
        <f>SUMPRODUCT($D41:$D48,J41:J48)/$D49</f>
        <v>3120.3</v>
      </c>
      <c r="K49" s="35">
        <f>SUMPRODUCT($D41:$D48,J41:J48)/$G49</f>
        <v>2.953598879254856</v>
      </c>
    </row>
    <row r="50" spans="3:11" ht="15" thickBot="1" x14ac:dyDescent="0.35"/>
    <row r="51" spans="3:11" ht="15.6" thickTop="1" thickBot="1" x14ac:dyDescent="0.35">
      <c r="C51" s="36" t="s">
        <v>52</v>
      </c>
      <c r="D51" s="37">
        <f>+D49+D39+D29+D13</f>
        <v>234</v>
      </c>
      <c r="E51" s="38">
        <f>+E49+E39+E29+E13</f>
        <v>1</v>
      </c>
      <c r="F51" s="37">
        <f>+G51/D51</f>
        <v>795.79059829059827</v>
      </c>
      <c r="G51" s="37">
        <f>+G49+G39+G29+G13</f>
        <v>186215</v>
      </c>
      <c r="H51" s="39">
        <f>(SUMPRODUCT($D41:$D48,H41:H48)+SUMPRODUCT($D31:$D38,H31:H38)+SUMPRODUCT($D15:$D28,H15:H28)+SUMPRODUCT($D7:$D12,H7:H12))/D51</f>
        <v>2530.0427350427349</v>
      </c>
      <c r="I51" s="40">
        <f>(SUMPRODUCT($D41:$D48,H41:H48)+SUMPRODUCT($D31:$D38,H31:H38)+SUMPRODUCT($D15:$D28,H15:H28)+SUMPRODUCT($D7:$D12,H7:H12))/G51</f>
        <v>3.1792820127272239</v>
      </c>
      <c r="J51" s="39">
        <f>(SUMPRODUCT($D41:$D48,J41:J48)+SUMPRODUCT($D31:$D38,J31:J38)+SUMPRODUCT($D15:$D28,J15:J28)+SUMPRODUCT($D7:$D12,J7:J12))/D51</f>
        <v>2516.4102564102564</v>
      </c>
      <c r="K51" s="40">
        <f>(SUMPRODUCT($D41:$D48,J41:J48)+SUMPRODUCT($D31:$D38,J31:J38)+SUMPRODUCT($D15:$D28,J15:J28)+SUMPRODUCT($D7:$D12,J7:J12))/G51</f>
        <v>3.1621512767499933</v>
      </c>
    </row>
    <row r="52" spans="3:11" ht="15" thickTop="1" x14ac:dyDescent="0.3"/>
    <row r="53" spans="3:11" x14ac:dyDescent="0.3">
      <c r="J53" s="15"/>
    </row>
    <row r="54" spans="3:11" x14ac:dyDescent="0.3">
      <c r="J54" s="15"/>
    </row>
    <row r="55" spans="3:11" x14ac:dyDescent="0.3">
      <c r="J55" s="15"/>
    </row>
    <row r="58" spans="3:11" x14ac:dyDescent="0.3">
      <c r="J58" s="15"/>
    </row>
    <row r="60" spans="3:11" x14ac:dyDescent="0.3">
      <c r="J60" s="15"/>
    </row>
    <row r="63" spans="3:11" x14ac:dyDescent="0.3">
      <c r="J63" s="15"/>
    </row>
    <row r="65" spans="10:10" x14ac:dyDescent="0.3">
      <c r="J65" s="15"/>
    </row>
    <row r="67" spans="10:10" x14ac:dyDescent="0.3">
      <c r="J67" s="15"/>
    </row>
    <row r="69" spans="10:10" x14ac:dyDescent="0.3">
      <c r="J69" s="15"/>
    </row>
    <row r="71" spans="10:10" x14ac:dyDescent="0.3">
      <c r="J71" s="15"/>
    </row>
    <row r="73" spans="10:10" x14ac:dyDescent="0.3">
      <c r="J73" s="15"/>
    </row>
    <row r="75" spans="10:10" x14ac:dyDescent="0.3">
      <c r="J75" s="15"/>
    </row>
    <row r="77" spans="10:10" x14ac:dyDescent="0.3">
      <c r="J77" s="15"/>
    </row>
  </sheetData>
  <pageMargins left="0.7" right="0.7" top="0.75" bottom="0.75" header="0.3" footer="0.3"/>
  <pageSetup scale="71" orientation="portrait" r:id="rId1"/>
  <ignoredErrors>
    <ignoredError sqref="I13:J13 I29:J29 I39:J39 F13 F29 F39 F49 F51 I49:J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N18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17" customWidth="1"/>
    <col min="4" max="4" width="19.109375" customWidth="1"/>
    <col min="5" max="5" width="20" customWidth="1"/>
    <col min="6" max="10" width="10.77734375" customWidth="1"/>
    <col min="11" max="11" width="12.44140625" customWidth="1"/>
    <col min="12" max="14" width="10.77734375" customWidth="1"/>
    <col min="15" max="16" width="2.77734375" customWidth="1"/>
  </cols>
  <sheetData>
    <row r="2" spans="2:14" x14ac:dyDescent="0.3">
      <c r="B2" s="1" t="s">
        <v>53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x14ac:dyDescent="0.3">
      <c r="C4" s="6"/>
      <c r="D4" s="6"/>
      <c r="E4" s="6"/>
      <c r="F4" s="6"/>
      <c r="G4" s="4" t="s">
        <v>62</v>
      </c>
      <c r="H4" s="4" t="s">
        <v>55</v>
      </c>
      <c r="I4" s="4" t="s">
        <v>59</v>
      </c>
      <c r="J4" s="4" t="s">
        <v>56</v>
      </c>
      <c r="K4" s="4"/>
      <c r="L4" s="4" t="s">
        <v>63</v>
      </c>
      <c r="M4" s="4" t="s">
        <v>65</v>
      </c>
      <c r="N4" s="4" t="s">
        <v>67</v>
      </c>
    </row>
    <row r="5" spans="2:14" x14ac:dyDescent="0.3">
      <c r="C5" s="5" t="s">
        <v>54</v>
      </c>
      <c r="D5" s="5" t="s">
        <v>69</v>
      </c>
      <c r="E5" s="5" t="s">
        <v>77</v>
      </c>
      <c r="F5" s="5" t="s">
        <v>2</v>
      </c>
      <c r="G5" s="5" t="s">
        <v>61</v>
      </c>
      <c r="H5" s="5" t="s">
        <v>71</v>
      </c>
      <c r="I5" s="5" t="s">
        <v>58</v>
      </c>
      <c r="J5" s="5" t="s">
        <v>57</v>
      </c>
      <c r="K5" s="5" t="s">
        <v>60</v>
      </c>
      <c r="L5" s="5" t="s">
        <v>64</v>
      </c>
      <c r="M5" s="5" t="s">
        <v>66</v>
      </c>
      <c r="N5" s="5" t="s">
        <v>68</v>
      </c>
    </row>
    <row r="6" spans="2:14" x14ac:dyDescent="0.3">
      <c r="C6" t="s">
        <v>88</v>
      </c>
      <c r="D6" t="s">
        <v>89</v>
      </c>
      <c r="E6" t="s">
        <v>90</v>
      </c>
      <c r="F6" s="8">
        <v>161</v>
      </c>
      <c r="G6" s="8">
        <v>120577</v>
      </c>
      <c r="H6" s="7">
        <f t="shared" ref="H6:H16" si="0">+G6/F6</f>
        <v>748.92546583850935</v>
      </c>
      <c r="I6" s="19">
        <v>2004</v>
      </c>
      <c r="J6" s="20">
        <v>41990</v>
      </c>
      <c r="K6" s="9">
        <v>60950000</v>
      </c>
      <c r="L6" s="16">
        <f t="shared" ref="L6:L16" si="1">+K6/F6</f>
        <v>378571.42857142858</v>
      </c>
      <c r="M6" s="11">
        <f t="shared" ref="M6:M16" si="2">+K6/G6</f>
        <v>505.48612090199623</v>
      </c>
      <c r="N6" s="18">
        <v>4.7E-2</v>
      </c>
    </row>
    <row r="7" spans="2:14" x14ac:dyDescent="0.3">
      <c r="C7" t="s">
        <v>72</v>
      </c>
      <c r="D7" t="s">
        <v>100</v>
      </c>
      <c r="E7" t="s">
        <v>85</v>
      </c>
      <c r="F7" s="8">
        <v>188</v>
      </c>
      <c r="G7" s="8">
        <v>189708</v>
      </c>
      <c r="H7" s="7">
        <f t="shared" si="0"/>
        <v>1009.0851063829788</v>
      </c>
      <c r="I7" s="19">
        <v>2012</v>
      </c>
      <c r="J7" s="20">
        <v>41920</v>
      </c>
      <c r="K7" s="10">
        <v>113471816</v>
      </c>
      <c r="L7" s="17">
        <f t="shared" si="1"/>
        <v>603573.48936170212</v>
      </c>
      <c r="M7" s="12">
        <f t="shared" si="2"/>
        <v>598.13932991755746</v>
      </c>
      <c r="N7" s="18">
        <v>4.7E-2</v>
      </c>
    </row>
    <row r="8" spans="2:14" x14ac:dyDescent="0.3">
      <c r="C8" t="s">
        <v>84</v>
      </c>
      <c r="D8" t="s">
        <v>99</v>
      </c>
      <c r="E8" t="s">
        <v>83</v>
      </c>
      <c r="F8" s="8">
        <v>179</v>
      </c>
      <c r="G8" s="8">
        <v>172000</v>
      </c>
      <c r="H8" s="7">
        <f t="shared" si="0"/>
        <v>960.8938547486033</v>
      </c>
      <c r="I8" s="19">
        <v>1962</v>
      </c>
      <c r="J8" s="20">
        <v>41887</v>
      </c>
      <c r="K8" s="10">
        <v>74000000</v>
      </c>
      <c r="L8" s="17">
        <f t="shared" si="1"/>
        <v>413407.82122905029</v>
      </c>
      <c r="M8" s="12">
        <f t="shared" si="2"/>
        <v>430.23255813953489</v>
      </c>
      <c r="N8" s="18">
        <v>2.4E-2</v>
      </c>
    </row>
    <row r="9" spans="2:14" x14ac:dyDescent="0.3">
      <c r="C9" t="s">
        <v>80</v>
      </c>
      <c r="D9" t="s">
        <v>98</v>
      </c>
      <c r="E9" t="s">
        <v>78</v>
      </c>
      <c r="F9" s="8">
        <v>70</v>
      </c>
      <c r="G9" s="8">
        <v>56035</v>
      </c>
      <c r="H9" s="7">
        <f t="shared" si="0"/>
        <v>800.5</v>
      </c>
      <c r="I9" s="19">
        <v>2014</v>
      </c>
      <c r="J9" s="20">
        <v>41858</v>
      </c>
      <c r="K9" s="10">
        <v>35600000</v>
      </c>
      <c r="L9" s="17">
        <f t="shared" si="1"/>
        <v>508571.42857142858</v>
      </c>
      <c r="M9" s="12">
        <f t="shared" si="2"/>
        <v>635.31721245650044</v>
      </c>
      <c r="N9" s="18">
        <v>4.2000000000000003E-2</v>
      </c>
    </row>
    <row r="10" spans="2:14" x14ac:dyDescent="0.3">
      <c r="C10" t="s">
        <v>81</v>
      </c>
      <c r="D10" t="s">
        <v>82</v>
      </c>
      <c r="E10" t="s">
        <v>78</v>
      </c>
      <c r="F10" s="8">
        <v>76</v>
      </c>
      <c r="G10" s="8">
        <v>57167</v>
      </c>
      <c r="H10" s="7">
        <f t="shared" si="0"/>
        <v>752.1973684210526</v>
      </c>
      <c r="I10" s="19">
        <v>2013</v>
      </c>
      <c r="J10" s="20">
        <v>41780</v>
      </c>
      <c r="K10" s="10">
        <v>29600000</v>
      </c>
      <c r="L10" s="17">
        <f t="shared" si="1"/>
        <v>389473.68421052629</v>
      </c>
      <c r="M10" s="12">
        <f t="shared" si="2"/>
        <v>517.78123742718697</v>
      </c>
      <c r="N10" s="18">
        <v>4.4999999999999998E-2</v>
      </c>
    </row>
    <row r="11" spans="2:14" x14ac:dyDescent="0.3">
      <c r="C11" t="s">
        <v>76</v>
      </c>
      <c r="D11" t="s">
        <v>97</v>
      </c>
      <c r="E11" t="s">
        <v>78</v>
      </c>
      <c r="F11" s="8">
        <v>134</v>
      </c>
      <c r="G11" s="8">
        <v>83734</v>
      </c>
      <c r="H11" s="7">
        <f t="shared" si="0"/>
        <v>624.88059701492534</v>
      </c>
      <c r="I11" s="19">
        <v>2014</v>
      </c>
      <c r="J11" s="20">
        <v>41775</v>
      </c>
      <c r="K11" s="10">
        <v>36109577</v>
      </c>
      <c r="L11" s="17">
        <f t="shared" si="1"/>
        <v>269474.45522388059</v>
      </c>
      <c r="M11" s="12">
        <f t="shared" si="2"/>
        <v>431.24151479685673</v>
      </c>
      <c r="N11" s="18">
        <v>4.1000000000000002E-2</v>
      </c>
    </row>
    <row r="12" spans="2:14" x14ac:dyDescent="0.3">
      <c r="C12" t="s">
        <v>86</v>
      </c>
      <c r="D12" t="s">
        <v>87</v>
      </c>
      <c r="E12" t="s">
        <v>85</v>
      </c>
      <c r="F12" s="8">
        <v>132</v>
      </c>
      <c r="G12" s="8">
        <v>99880</v>
      </c>
      <c r="H12" s="7">
        <f t="shared" si="0"/>
        <v>756.66666666666663</v>
      </c>
      <c r="I12" s="19">
        <v>2013</v>
      </c>
      <c r="J12" s="20">
        <v>41757</v>
      </c>
      <c r="K12" s="10">
        <v>68500000</v>
      </c>
      <c r="L12" s="17">
        <f t="shared" si="1"/>
        <v>518939.39393939392</v>
      </c>
      <c r="M12" s="12">
        <f t="shared" si="2"/>
        <v>685.82298758510217</v>
      </c>
      <c r="N12" s="18">
        <v>4.0999999999999995E-2</v>
      </c>
    </row>
    <row r="13" spans="2:14" x14ac:dyDescent="0.3">
      <c r="C13" t="s">
        <v>70</v>
      </c>
      <c r="D13" t="s">
        <v>95</v>
      </c>
      <c r="E13" t="s">
        <v>92</v>
      </c>
      <c r="F13" s="8">
        <v>200</v>
      </c>
      <c r="G13" s="8">
        <v>97080</v>
      </c>
      <c r="H13" s="7">
        <f t="shared" si="0"/>
        <v>485.4</v>
      </c>
      <c r="I13" s="19">
        <v>1993</v>
      </c>
      <c r="J13" s="20">
        <v>41724</v>
      </c>
      <c r="K13" s="10">
        <v>23130000</v>
      </c>
      <c r="L13" s="17">
        <f t="shared" si="1"/>
        <v>115650</v>
      </c>
      <c r="M13" s="12">
        <f t="shared" si="2"/>
        <v>238.25710754017305</v>
      </c>
      <c r="N13" s="18">
        <v>6.5369649805447474E-2</v>
      </c>
    </row>
    <row r="14" spans="2:14" x14ac:dyDescent="0.3">
      <c r="C14" t="s">
        <v>74</v>
      </c>
      <c r="D14" t="s">
        <v>94</v>
      </c>
      <c r="E14" t="s">
        <v>79</v>
      </c>
      <c r="F14" s="8">
        <v>122</v>
      </c>
      <c r="G14" s="8">
        <v>75182.481751824816</v>
      </c>
      <c r="H14" s="7">
        <f t="shared" si="0"/>
        <v>616.24985042479352</v>
      </c>
      <c r="I14" s="19">
        <v>2012</v>
      </c>
      <c r="J14" s="20">
        <v>41583</v>
      </c>
      <c r="K14" s="10">
        <v>41200000</v>
      </c>
      <c r="L14" s="17">
        <f t="shared" si="1"/>
        <v>337704.91803278687</v>
      </c>
      <c r="M14" s="12">
        <f t="shared" si="2"/>
        <v>548</v>
      </c>
      <c r="N14" s="18">
        <v>4.7260194174757277E-2</v>
      </c>
    </row>
    <row r="15" spans="2:14" x14ac:dyDescent="0.3">
      <c r="C15" t="s">
        <v>75</v>
      </c>
      <c r="D15" t="s">
        <v>93</v>
      </c>
      <c r="E15" t="s">
        <v>79</v>
      </c>
      <c r="F15" s="8">
        <v>251</v>
      </c>
      <c r="G15" s="8">
        <v>122730</v>
      </c>
      <c r="H15" s="7">
        <f t="shared" si="0"/>
        <v>488.96414342629481</v>
      </c>
      <c r="I15" s="19">
        <v>2011</v>
      </c>
      <c r="J15" s="20">
        <v>41473</v>
      </c>
      <c r="K15" s="10">
        <v>61968800</v>
      </c>
      <c r="L15" s="17">
        <f t="shared" si="1"/>
        <v>246887.64940239044</v>
      </c>
      <c r="M15" s="12">
        <f t="shared" si="2"/>
        <v>504.91974252424018</v>
      </c>
      <c r="N15" s="18">
        <v>5.103535972941222E-2</v>
      </c>
    </row>
    <row r="16" spans="2:14" x14ac:dyDescent="0.3">
      <c r="C16" t="s">
        <v>73</v>
      </c>
      <c r="D16" t="s">
        <v>96</v>
      </c>
      <c r="E16" t="s">
        <v>85</v>
      </c>
      <c r="F16" s="8">
        <v>325</v>
      </c>
      <c r="G16" s="8">
        <v>308750</v>
      </c>
      <c r="H16" s="7">
        <f t="shared" si="0"/>
        <v>950</v>
      </c>
      <c r="I16" s="19">
        <v>2010</v>
      </c>
      <c r="J16" s="20">
        <v>41214</v>
      </c>
      <c r="K16" s="10">
        <v>165700000</v>
      </c>
      <c r="L16" s="17">
        <f t="shared" si="1"/>
        <v>509846.15384615387</v>
      </c>
      <c r="M16" s="12">
        <f t="shared" si="2"/>
        <v>536.68016194331983</v>
      </c>
      <c r="N16" s="18">
        <v>3.9541339770669884E-2</v>
      </c>
    </row>
    <row r="18" spans="3:14" x14ac:dyDescent="0.3">
      <c r="C18" s="41" t="s">
        <v>91</v>
      </c>
      <c r="D18" s="42"/>
      <c r="E18" s="42"/>
      <c r="F18" s="43">
        <f>MEDIAN(F6:F16)</f>
        <v>161</v>
      </c>
      <c r="G18" s="43">
        <f t="shared" ref="G18:N18" si="3">MEDIAN(G6:G16)</f>
        <v>99880</v>
      </c>
      <c r="H18" s="43">
        <f t="shared" si="3"/>
        <v>752.1973684210526</v>
      </c>
      <c r="I18" s="44">
        <f t="shared" si="3"/>
        <v>2012</v>
      </c>
      <c r="J18" s="45">
        <f t="shared" si="3"/>
        <v>41775</v>
      </c>
      <c r="K18" s="46">
        <f t="shared" si="3"/>
        <v>60950000</v>
      </c>
      <c r="L18" s="46">
        <f t="shared" si="3"/>
        <v>389473.68421052629</v>
      </c>
      <c r="M18" s="47">
        <f t="shared" si="3"/>
        <v>517.78123742718697</v>
      </c>
      <c r="N18" s="48">
        <f t="shared" si="3"/>
        <v>4.4999999999999998E-2</v>
      </c>
    </row>
  </sheetData>
  <sortState ref="B6:Q16">
    <sortCondition descending="1" ref="J6:J16"/>
  </sortState>
  <pageMargins left="0.7" right="0.7" top="0.75" bottom="0.75" header="0.3" footer="0.3"/>
  <pageSetup scale="54" orientation="portrait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P34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20.6640625" customWidth="1"/>
    <col min="4" max="4" width="21.5546875" customWidth="1"/>
    <col min="5" max="5" width="14.6640625" customWidth="1"/>
    <col min="6" max="6" width="7" customWidth="1"/>
    <col min="7" max="7" width="7.5546875" customWidth="1"/>
    <col min="8" max="8" width="9.21875" customWidth="1"/>
    <col min="9" max="9" width="9.5546875" customWidth="1"/>
    <col min="10" max="11" width="12.109375" customWidth="1"/>
    <col min="12" max="13" width="13.33203125" customWidth="1"/>
    <col min="14" max="14" width="10.6640625" customWidth="1"/>
    <col min="15" max="15" width="12" customWidth="1"/>
    <col min="16" max="16" width="26.6640625" customWidth="1"/>
    <col min="17" max="18" width="2.77734375" customWidth="1"/>
  </cols>
  <sheetData>
    <row r="2" spans="2:16" x14ac:dyDescent="0.3">
      <c r="B2" s="1" t="s">
        <v>101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1"/>
    </row>
    <row r="4" spans="2:16" x14ac:dyDescent="0.3">
      <c r="C4" s="6"/>
      <c r="D4" s="6"/>
      <c r="E4" s="6"/>
      <c r="F4" s="4" t="s">
        <v>59</v>
      </c>
      <c r="G4" s="6"/>
      <c r="H4" s="4" t="s">
        <v>62</v>
      </c>
      <c r="I4" s="4" t="s">
        <v>55</v>
      </c>
      <c r="J4" s="4" t="s">
        <v>6</v>
      </c>
      <c r="K4" s="4" t="s">
        <v>6</v>
      </c>
      <c r="L4" s="4" t="s">
        <v>9</v>
      </c>
      <c r="M4" s="4" t="s">
        <v>9</v>
      </c>
      <c r="N4" s="4" t="s">
        <v>102</v>
      </c>
      <c r="O4" s="4" t="s">
        <v>103</v>
      </c>
      <c r="P4" s="4"/>
    </row>
    <row r="5" spans="2:16" x14ac:dyDescent="0.3">
      <c r="C5" s="5" t="s">
        <v>54</v>
      </c>
      <c r="D5" s="5" t="s">
        <v>69</v>
      </c>
      <c r="E5" s="5" t="s">
        <v>77</v>
      </c>
      <c r="F5" s="5" t="s">
        <v>58</v>
      </c>
      <c r="G5" s="5" t="s">
        <v>2</v>
      </c>
      <c r="H5" s="5" t="s">
        <v>61</v>
      </c>
      <c r="I5" s="5" t="s">
        <v>71</v>
      </c>
      <c r="J5" s="5" t="s">
        <v>7</v>
      </c>
      <c r="K5" s="5" t="s">
        <v>8</v>
      </c>
      <c r="L5" s="5" t="s">
        <v>7</v>
      </c>
      <c r="M5" s="5" t="s">
        <v>8</v>
      </c>
      <c r="N5" s="5" t="s">
        <v>68</v>
      </c>
      <c r="O5" s="5" t="s">
        <v>104</v>
      </c>
      <c r="P5" s="5" t="s">
        <v>105</v>
      </c>
    </row>
    <row r="6" spans="2:16" ht="43.2" x14ac:dyDescent="0.3">
      <c r="C6" t="s">
        <v>110</v>
      </c>
      <c r="D6" t="s">
        <v>106</v>
      </c>
      <c r="E6" t="s">
        <v>78</v>
      </c>
      <c r="F6" s="19">
        <v>2010</v>
      </c>
      <c r="G6" s="8">
        <v>295</v>
      </c>
      <c r="H6" s="8">
        <v>222430</v>
      </c>
      <c r="I6" s="7">
        <f t="shared" ref="I6" si="0">+H6/G6</f>
        <v>754</v>
      </c>
      <c r="J6" s="9">
        <v>2500</v>
      </c>
      <c r="K6" s="11">
        <f t="shared" ref="K6" si="1">+J6/$I6</f>
        <v>3.3156498673740051</v>
      </c>
      <c r="L6" s="9">
        <v>2500</v>
      </c>
      <c r="M6" s="11">
        <f t="shared" ref="M6" si="2">+L6/$I6</f>
        <v>3.3156498673740051</v>
      </c>
      <c r="N6" s="24">
        <v>0.97</v>
      </c>
      <c r="O6" s="25">
        <f t="shared" ref="O6" si="3">(J6-L6)/J6</f>
        <v>0</v>
      </c>
      <c r="P6" s="23" t="s">
        <v>138</v>
      </c>
    </row>
    <row r="7" spans="2:16" ht="28.8" x14ac:dyDescent="0.3">
      <c r="C7" t="s">
        <v>107</v>
      </c>
      <c r="D7" t="s">
        <v>120</v>
      </c>
      <c r="E7" t="s">
        <v>78</v>
      </c>
      <c r="F7" s="19">
        <v>2010</v>
      </c>
      <c r="G7" s="8">
        <v>94</v>
      </c>
      <c r="H7" s="8">
        <v>61100</v>
      </c>
      <c r="I7" s="7">
        <f t="shared" ref="I7:I15" si="4">+H7/G7</f>
        <v>650</v>
      </c>
      <c r="J7" s="10">
        <v>1450</v>
      </c>
      <c r="K7" s="12">
        <f t="shared" ref="K7:K15" si="5">+J7/$I7</f>
        <v>2.2307692307692308</v>
      </c>
      <c r="L7" s="10">
        <v>1400</v>
      </c>
      <c r="M7" s="12">
        <f t="shared" ref="M7:M15" si="6">+L7/$I7</f>
        <v>2.1538461538461537</v>
      </c>
      <c r="N7" s="24">
        <v>0.92</v>
      </c>
      <c r="O7" s="25">
        <f t="shared" ref="O7:O15" si="7">(J7-L7)/J7</f>
        <v>3.4482758620689655E-2</v>
      </c>
      <c r="P7" s="23" t="s">
        <v>136</v>
      </c>
    </row>
    <row r="8" spans="2:16" ht="28.8" x14ac:dyDescent="0.3">
      <c r="C8" t="s">
        <v>115</v>
      </c>
      <c r="D8" t="s">
        <v>117</v>
      </c>
      <c r="E8" t="s">
        <v>78</v>
      </c>
      <c r="F8" s="19">
        <v>2012</v>
      </c>
      <c r="G8" s="8">
        <v>107</v>
      </c>
      <c r="H8" s="8">
        <v>64414</v>
      </c>
      <c r="I8" s="7">
        <f t="shared" si="4"/>
        <v>602</v>
      </c>
      <c r="J8" s="10">
        <v>1450</v>
      </c>
      <c r="K8" s="12">
        <f t="shared" si="5"/>
        <v>2.4086378737541527</v>
      </c>
      <c r="L8" s="10">
        <v>1425</v>
      </c>
      <c r="M8" s="12">
        <f t="shared" si="6"/>
        <v>2.367109634551495</v>
      </c>
      <c r="N8" s="24">
        <v>0.97</v>
      </c>
      <c r="O8" s="25">
        <f t="shared" si="7"/>
        <v>1.7241379310344827E-2</v>
      </c>
      <c r="P8" s="23" t="s">
        <v>137</v>
      </c>
    </row>
    <row r="9" spans="2:16" ht="28.8" x14ac:dyDescent="0.3">
      <c r="C9" t="s">
        <v>109</v>
      </c>
      <c r="D9" t="s">
        <v>133</v>
      </c>
      <c r="E9" t="s">
        <v>78</v>
      </c>
      <c r="F9" s="19">
        <v>2011</v>
      </c>
      <c r="G9" s="8">
        <v>117</v>
      </c>
      <c r="H9" s="8">
        <v>80561</v>
      </c>
      <c r="I9" s="7">
        <f t="shared" si="4"/>
        <v>688.55555555555554</v>
      </c>
      <c r="J9" s="10">
        <v>1650</v>
      </c>
      <c r="K9" s="12">
        <f t="shared" si="5"/>
        <v>2.3963208003872842</v>
      </c>
      <c r="L9" s="10">
        <v>1550</v>
      </c>
      <c r="M9" s="12">
        <f t="shared" si="6"/>
        <v>2.2510892367274487</v>
      </c>
      <c r="N9" s="24">
        <v>0.92</v>
      </c>
      <c r="O9" s="25">
        <f t="shared" si="7"/>
        <v>6.0606060606060608E-2</v>
      </c>
      <c r="P9" s="23" t="s">
        <v>135</v>
      </c>
    </row>
    <row r="10" spans="2:16" ht="28.8" x14ac:dyDescent="0.3">
      <c r="C10" t="s">
        <v>112</v>
      </c>
      <c r="D10" t="s">
        <v>123</v>
      </c>
      <c r="E10" t="s">
        <v>78</v>
      </c>
      <c r="F10" s="19">
        <v>2008</v>
      </c>
      <c r="G10" s="8">
        <v>80</v>
      </c>
      <c r="H10" s="8">
        <v>48160</v>
      </c>
      <c r="I10" s="7">
        <f t="shared" si="4"/>
        <v>602</v>
      </c>
      <c r="J10" s="10">
        <v>1705</v>
      </c>
      <c r="K10" s="12">
        <f t="shared" si="5"/>
        <v>2.8322259136212624</v>
      </c>
      <c r="L10" s="10">
        <v>1625</v>
      </c>
      <c r="M10" s="12">
        <f t="shared" si="6"/>
        <v>2.6993355481727574</v>
      </c>
      <c r="N10" s="24">
        <v>0.9</v>
      </c>
      <c r="O10" s="25">
        <f t="shared" si="7"/>
        <v>4.6920821114369501E-2</v>
      </c>
      <c r="P10" s="23" t="s">
        <v>124</v>
      </c>
    </row>
    <row r="11" spans="2:16" ht="28.8" x14ac:dyDescent="0.3">
      <c r="C11" t="s">
        <v>111</v>
      </c>
      <c r="D11" t="s">
        <v>121</v>
      </c>
      <c r="E11" t="s">
        <v>78</v>
      </c>
      <c r="F11" s="19">
        <v>2009</v>
      </c>
      <c r="G11" s="8">
        <v>61</v>
      </c>
      <c r="H11" s="8">
        <v>45124</v>
      </c>
      <c r="I11" s="7">
        <f t="shared" si="4"/>
        <v>739.73770491803282</v>
      </c>
      <c r="J11" s="10">
        <v>1850</v>
      </c>
      <c r="K11" s="12">
        <f t="shared" si="5"/>
        <v>2.5008864462370357</v>
      </c>
      <c r="L11" s="10">
        <v>1820</v>
      </c>
      <c r="M11" s="12">
        <f t="shared" si="6"/>
        <v>2.4603315308926512</v>
      </c>
      <c r="N11" s="24">
        <v>0.93</v>
      </c>
      <c r="O11" s="25">
        <f t="shared" si="7"/>
        <v>1.6216216216216217E-2</v>
      </c>
      <c r="P11" s="23" t="s">
        <v>122</v>
      </c>
    </row>
    <row r="12" spans="2:16" ht="28.8" x14ac:dyDescent="0.3">
      <c r="C12" t="s">
        <v>108</v>
      </c>
      <c r="D12" t="s">
        <v>119</v>
      </c>
      <c r="E12" t="s">
        <v>78</v>
      </c>
      <c r="F12" s="19">
        <v>2012</v>
      </c>
      <c r="G12" s="8">
        <v>108</v>
      </c>
      <c r="H12" s="8">
        <v>76140</v>
      </c>
      <c r="I12" s="7">
        <f t="shared" si="4"/>
        <v>705</v>
      </c>
      <c r="J12" s="10">
        <v>1950</v>
      </c>
      <c r="K12" s="12">
        <f t="shared" si="5"/>
        <v>2.7659574468085109</v>
      </c>
      <c r="L12" s="10">
        <v>1950</v>
      </c>
      <c r="M12" s="12">
        <f t="shared" si="6"/>
        <v>2.7659574468085109</v>
      </c>
      <c r="N12" s="24">
        <v>0.95</v>
      </c>
      <c r="O12" s="25">
        <f t="shared" si="7"/>
        <v>0</v>
      </c>
      <c r="P12" s="23" t="s">
        <v>118</v>
      </c>
    </row>
    <row r="13" spans="2:16" ht="28.8" x14ac:dyDescent="0.3">
      <c r="C13" t="s">
        <v>125</v>
      </c>
      <c r="D13" t="s">
        <v>126</v>
      </c>
      <c r="E13" t="s">
        <v>78</v>
      </c>
      <c r="F13" s="19">
        <v>2014</v>
      </c>
      <c r="G13" s="8">
        <v>108</v>
      </c>
      <c r="H13" s="8">
        <v>60800</v>
      </c>
      <c r="I13" s="7">
        <f t="shared" si="4"/>
        <v>562.96296296296293</v>
      </c>
      <c r="J13" s="10">
        <v>1950</v>
      </c>
      <c r="K13" s="12">
        <f t="shared" si="5"/>
        <v>3.4638157894736845</v>
      </c>
      <c r="L13" s="10">
        <v>1900</v>
      </c>
      <c r="M13" s="12">
        <f t="shared" si="6"/>
        <v>3.375</v>
      </c>
      <c r="N13" s="24">
        <v>0.93</v>
      </c>
      <c r="O13" s="25">
        <f t="shared" si="7"/>
        <v>2.564102564102564E-2</v>
      </c>
      <c r="P13" s="23" t="s">
        <v>127</v>
      </c>
    </row>
    <row r="14" spans="2:16" ht="28.8" x14ac:dyDescent="0.3">
      <c r="C14" t="s">
        <v>114</v>
      </c>
      <c r="D14" t="s">
        <v>116</v>
      </c>
      <c r="E14" t="s">
        <v>78</v>
      </c>
      <c r="F14" s="19">
        <v>2014</v>
      </c>
      <c r="G14" s="8">
        <v>92</v>
      </c>
      <c r="H14" s="8">
        <v>71213</v>
      </c>
      <c r="I14" s="7">
        <f t="shared" si="4"/>
        <v>774.054347826087</v>
      </c>
      <c r="J14" s="10">
        <v>2300</v>
      </c>
      <c r="K14" s="12">
        <f t="shared" si="5"/>
        <v>2.9713675873787087</v>
      </c>
      <c r="L14" s="10">
        <v>2300</v>
      </c>
      <c r="M14" s="12">
        <f t="shared" si="6"/>
        <v>2.9713675873787087</v>
      </c>
      <c r="N14" s="24">
        <v>0.96</v>
      </c>
      <c r="O14" s="25">
        <f t="shared" si="7"/>
        <v>0</v>
      </c>
      <c r="P14" s="23" t="s">
        <v>118</v>
      </c>
    </row>
    <row r="15" spans="2:16" ht="28.8" x14ac:dyDescent="0.3">
      <c r="C15" t="s">
        <v>80</v>
      </c>
      <c r="D15" t="s">
        <v>98</v>
      </c>
      <c r="E15" t="s">
        <v>78</v>
      </c>
      <c r="F15" s="19">
        <v>2014</v>
      </c>
      <c r="G15" s="8">
        <v>70</v>
      </c>
      <c r="H15" s="8">
        <v>56035</v>
      </c>
      <c r="I15" s="7">
        <f t="shared" si="4"/>
        <v>800.5</v>
      </c>
      <c r="J15" s="10">
        <v>2350</v>
      </c>
      <c r="K15" s="12">
        <f t="shared" si="5"/>
        <v>2.9356652092442221</v>
      </c>
      <c r="L15" s="10">
        <v>2325</v>
      </c>
      <c r="M15" s="12">
        <f t="shared" si="6"/>
        <v>2.9044347282948157</v>
      </c>
      <c r="N15" s="24">
        <v>0.98</v>
      </c>
      <c r="O15" s="25">
        <f t="shared" si="7"/>
        <v>1.0638297872340425E-2</v>
      </c>
      <c r="P15" s="23" t="s">
        <v>113</v>
      </c>
    </row>
    <row r="17" spans="3:16" x14ac:dyDescent="0.3">
      <c r="C17" s="41" t="s">
        <v>132</v>
      </c>
      <c r="D17" s="42"/>
      <c r="E17" s="42"/>
      <c r="F17" s="49">
        <f>AVERAGE(F6:F15)</f>
        <v>2011.4</v>
      </c>
      <c r="G17" s="43">
        <f>SUM(G6:G15)</f>
        <v>1132</v>
      </c>
      <c r="H17" s="43">
        <f>SUM(H6:H15)</f>
        <v>785977</v>
      </c>
      <c r="I17" s="43">
        <f>+H17/G17</f>
        <v>694.32597173144882</v>
      </c>
      <c r="J17" s="50">
        <f>SUMPRODUCT(G6:G15,J6:J15)/G17</f>
        <v>2004.0194346289752</v>
      </c>
      <c r="K17" s="47">
        <f>SUMPRODUCT(G6:G15,J6:J15)/H17</f>
        <v>2.8862803873395788</v>
      </c>
      <c r="L17" s="46">
        <f>SUMPRODUCT(G6:G15,L6:L15)/G17</f>
        <v>1973.5821554770318</v>
      </c>
      <c r="M17" s="47">
        <f>SUMPRODUCT(G6:G15,L6:L15)/H17</f>
        <v>2.8424432267101962</v>
      </c>
      <c r="N17" s="51">
        <f>SUMPRODUCT(G6:G15,N6:N15)/G17</f>
        <v>0.94765901060070667</v>
      </c>
      <c r="O17" s="52">
        <f>SUMPRODUCT(G6:G15,O6:O15)/G17</f>
        <v>1.8051132938245729E-2</v>
      </c>
    </row>
    <row r="19" spans="3:16" x14ac:dyDescent="0.3">
      <c r="C19" s="41" t="s">
        <v>91</v>
      </c>
      <c r="D19" s="42"/>
      <c r="E19" s="42"/>
      <c r="F19" s="49">
        <f>MEDIAN(F6:F15)</f>
        <v>2011.5</v>
      </c>
      <c r="G19" s="43">
        <f>MEDIAN(G6:G15)</f>
        <v>100.5</v>
      </c>
      <c r="H19" s="43">
        <f>MEDIAN(H6:H15)</f>
        <v>62757</v>
      </c>
      <c r="I19" s="43">
        <f>MEDIAN(I6:I15)</f>
        <v>696.77777777777783</v>
      </c>
      <c r="J19" s="50">
        <f t="shared" ref="J19:O19" si="8">MEDIAN(J6:J15)</f>
        <v>1900</v>
      </c>
      <c r="K19" s="47">
        <f t="shared" si="8"/>
        <v>2.7990916802148869</v>
      </c>
      <c r="L19" s="46">
        <f t="shared" si="8"/>
        <v>1860</v>
      </c>
      <c r="M19" s="47">
        <f t="shared" si="8"/>
        <v>2.7326464974906344</v>
      </c>
      <c r="N19" s="51">
        <f t="shared" si="8"/>
        <v>0.94</v>
      </c>
      <c r="O19" s="52">
        <f t="shared" si="8"/>
        <v>1.6728797763280522E-2</v>
      </c>
      <c r="P19" s="22"/>
    </row>
    <row r="21" spans="3:16" x14ac:dyDescent="0.3">
      <c r="C21" s="6"/>
      <c r="D21" s="6"/>
      <c r="E21" s="6"/>
      <c r="F21" s="4"/>
      <c r="G21" s="6"/>
      <c r="H21" s="4"/>
      <c r="I21" s="4"/>
      <c r="J21" s="4"/>
      <c r="K21" s="4"/>
      <c r="L21" s="4"/>
    </row>
    <row r="22" spans="3:16" x14ac:dyDescent="0.3">
      <c r="C22" s="5" t="s">
        <v>54</v>
      </c>
      <c r="D22" s="5" t="s">
        <v>69</v>
      </c>
      <c r="E22" s="5" t="s">
        <v>77</v>
      </c>
      <c r="F22" s="5" t="s">
        <v>128</v>
      </c>
      <c r="G22" s="5"/>
      <c r="H22" s="5" t="s">
        <v>129</v>
      </c>
      <c r="I22" s="5"/>
      <c r="J22" s="5" t="s">
        <v>130</v>
      </c>
      <c r="K22" s="5"/>
      <c r="L22" s="5" t="s">
        <v>131</v>
      </c>
    </row>
    <row r="23" spans="3:16" x14ac:dyDescent="0.3">
      <c r="C23" t="s">
        <v>110</v>
      </c>
      <c r="D23" t="s">
        <v>106</v>
      </c>
      <c r="E23" t="s">
        <v>78</v>
      </c>
      <c r="F23" s="24">
        <v>0.25</v>
      </c>
      <c r="H23" s="24">
        <v>0.6</v>
      </c>
      <c r="J23" s="24">
        <v>0.15</v>
      </c>
      <c r="L23" s="13">
        <f t="shared" ref="L23:L32" si="9">+F23+H23+J23</f>
        <v>1</v>
      </c>
    </row>
    <row r="24" spans="3:16" x14ac:dyDescent="0.3">
      <c r="C24" t="s">
        <v>107</v>
      </c>
      <c r="D24" t="s">
        <v>120</v>
      </c>
      <c r="E24" t="s">
        <v>78</v>
      </c>
      <c r="F24" s="24">
        <v>0.28000000000000003</v>
      </c>
      <c r="H24" s="24">
        <v>0.63</v>
      </c>
      <c r="J24" s="24">
        <v>8.9999999999999969E-2</v>
      </c>
      <c r="L24" s="13">
        <f t="shared" si="9"/>
        <v>1</v>
      </c>
    </row>
    <row r="25" spans="3:16" x14ac:dyDescent="0.3">
      <c r="C25" t="s">
        <v>115</v>
      </c>
      <c r="D25" t="s">
        <v>117</v>
      </c>
      <c r="E25" t="s">
        <v>78</v>
      </c>
      <c r="F25" s="24">
        <v>0.26</v>
      </c>
      <c r="H25" s="24">
        <v>0.74</v>
      </c>
      <c r="J25" s="24">
        <v>0</v>
      </c>
      <c r="L25" s="13">
        <f t="shared" si="9"/>
        <v>1</v>
      </c>
    </row>
    <row r="26" spans="3:16" x14ac:dyDescent="0.3">
      <c r="C26" t="s">
        <v>109</v>
      </c>
      <c r="D26" t="s">
        <v>133</v>
      </c>
      <c r="E26" t="s">
        <v>78</v>
      </c>
      <c r="F26" s="24">
        <v>0.21</v>
      </c>
      <c r="H26" s="24">
        <v>0.52</v>
      </c>
      <c r="J26" s="24">
        <v>0.27</v>
      </c>
      <c r="L26" s="13">
        <f t="shared" si="9"/>
        <v>1</v>
      </c>
    </row>
    <row r="27" spans="3:16" x14ac:dyDescent="0.3">
      <c r="C27" t="s">
        <v>112</v>
      </c>
      <c r="D27" t="s">
        <v>123</v>
      </c>
      <c r="E27" t="s">
        <v>78</v>
      </c>
      <c r="F27" s="24">
        <v>0.31</v>
      </c>
      <c r="H27" s="24">
        <v>0.69</v>
      </c>
      <c r="J27" s="24">
        <v>0</v>
      </c>
      <c r="L27" s="13">
        <f t="shared" si="9"/>
        <v>1</v>
      </c>
    </row>
    <row r="28" spans="3:16" x14ac:dyDescent="0.3">
      <c r="C28" t="s">
        <v>111</v>
      </c>
      <c r="D28" t="s">
        <v>121</v>
      </c>
      <c r="E28" t="s">
        <v>78</v>
      </c>
      <c r="F28" s="24">
        <v>0.19672131147540983</v>
      </c>
      <c r="H28" s="24">
        <v>0.80327868852459017</v>
      </c>
      <c r="J28" s="24">
        <v>0</v>
      </c>
      <c r="L28" s="13">
        <f t="shared" si="9"/>
        <v>1</v>
      </c>
    </row>
    <row r="29" spans="3:16" x14ac:dyDescent="0.3">
      <c r="C29" t="s">
        <v>108</v>
      </c>
      <c r="D29" t="s">
        <v>119</v>
      </c>
      <c r="E29" t="s">
        <v>78</v>
      </c>
      <c r="F29" s="24">
        <v>0.31481481481481483</v>
      </c>
      <c r="H29" s="24">
        <v>0.57407407407407407</v>
      </c>
      <c r="J29" s="24">
        <v>0.1111111111111111</v>
      </c>
      <c r="L29" s="13">
        <f t="shared" si="9"/>
        <v>1</v>
      </c>
    </row>
    <row r="30" spans="3:16" x14ac:dyDescent="0.3">
      <c r="C30" t="s">
        <v>125</v>
      </c>
      <c r="D30" t="s">
        <v>126</v>
      </c>
      <c r="E30" t="s">
        <v>78</v>
      </c>
      <c r="F30" s="24">
        <v>0.1</v>
      </c>
      <c r="H30" s="24">
        <v>0.8</v>
      </c>
      <c r="J30" s="24">
        <v>0.1</v>
      </c>
      <c r="L30" s="13">
        <f t="shared" si="9"/>
        <v>1</v>
      </c>
    </row>
    <row r="31" spans="3:16" x14ac:dyDescent="0.3">
      <c r="C31" t="s">
        <v>114</v>
      </c>
      <c r="D31" t="s">
        <v>116</v>
      </c>
      <c r="E31" t="s">
        <v>78</v>
      </c>
      <c r="F31" s="24">
        <v>0.21</v>
      </c>
      <c r="H31" s="24">
        <v>0.67</v>
      </c>
      <c r="J31" s="24">
        <v>0.12</v>
      </c>
      <c r="L31" s="13">
        <f t="shared" si="9"/>
        <v>1</v>
      </c>
    </row>
    <row r="32" spans="3:16" x14ac:dyDescent="0.3">
      <c r="C32" t="s">
        <v>80</v>
      </c>
      <c r="D32" t="s">
        <v>98</v>
      </c>
      <c r="E32" t="s">
        <v>78</v>
      </c>
      <c r="F32" s="24">
        <v>0</v>
      </c>
      <c r="H32" s="24">
        <v>0.61</v>
      </c>
      <c r="J32" s="24">
        <v>0.39</v>
      </c>
      <c r="L32" s="13">
        <f t="shared" si="9"/>
        <v>1</v>
      </c>
    </row>
    <row r="34" spans="3:12" x14ac:dyDescent="0.3">
      <c r="C34" s="41" t="s">
        <v>134</v>
      </c>
      <c r="D34" s="42"/>
      <c r="E34" s="42"/>
      <c r="F34" s="51">
        <f>AVERAGE(F23:F32)</f>
        <v>0.21315361262902249</v>
      </c>
      <c r="G34" s="43"/>
      <c r="H34" s="51">
        <f>AVERAGE(H23:H32)</f>
        <v>0.6637352762598665</v>
      </c>
      <c r="I34" s="43"/>
      <c r="J34" s="51">
        <f>AVERAGE(J23:J32)</f>
        <v>0.12311111111111113</v>
      </c>
      <c r="K34" s="47"/>
      <c r="L34" s="52">
        <f>AVERAGE(L23:L32)</f>
        <v>1</v>
      </c>
    </row>
  </sheetData>
  <sortState ref="B7:P15">
    <sortCondition ref="J7:J15"/>
  </sortState>
  <pageMargins left="0.7" right="0.7" top="0.75" bottom="0.75" header="0.3" footer="0.3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47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22.88671875" customWidth="1"/>
    <col min="4" max="4" width="2.77734375" customWidth="1"/>
    <col min="5" max="5" width="21.5546875" customWidth="1"/>
    <col min="6" max="6" width="2.77734375" customWidth="1"/>
    <col min="7" max="7" width="21.5546875" customWidth="1"/>
    <col min="8" max="8" width="2.77734375" customWidth="1"/>
    <col min="9" max="9" width="21.5546875" customWidth="1"/>
    <col min="10" max="11" width="2.77734375" customWidth="1"/>
  </cols>
  <sheetData>
    <row r="2" spans="2:9" x14ac:dyDescent="0.3">
      <c r="B2" s="1" t="s">
        <v>139</v>
      </c>
      <c r="C2" s="1"/>
      <c r="D2" s="1"/>
      <c r="E2" s="2"/>
      <c r="F2" s="2"/>
      <c r="G2" s="2"/>
      <c r="H2" s="2"/>
      <c r="I2" s="2"/>
    </row>
    <row r="4" spans="2:9" x14ac:dyDescent="0.3">
      <c r="C4" s="6"/>
      <c r="D4" s="6"/>
      <c r="E4" s="4" t="s">
        <v>140</v>
      </c>
      <c r="F4" s="4"/>
      <c r="G4" s="4" t="s">
        <v>142</v>
      </c>
      <c r="H4" s="4"/>
      <c r="I4" s="4" t="s">
        <v>145</v>
      </c>
    </row>
    <row r="5" spans="2:9" x14ac:dyDescent="0.3">
      <c r="C5" s="5" t="s">
        <v>157</v>
      </c>
      <c r="D5" s="5"/>
      <c r="E5" s="5" t="s">
        <v>141</v>
      </c>
      <c r="F5" s="5"/>
      <c r="G5" s="5" t="s">
        <v>144</v>
      </c>
      <c r="H5" s="5"/>
      <c r="I5" s="5" t="s">
        <v>143</v>
      </c>
    </row>
    <row r="7" spans="2:9" x14ac:dyDescent="0.3">
      <c r="C7" s="14" t="s">
        <v>155</v>
      </c>
      <c r="D7" s="14"/>
      <c r="E7" s="9">
        <v>1702</v>
      </c>
      <c r="F7" s="9"/>
      <c r="G7" s="9">
        <v>1804</v>
      </c>
      <c r="H7" s="9"/>
      <c r="I7" s="9">
        <v>1710</v>
      </c>
    </row>
    <row r="8" spans="2:9" x14ac:dyDescent="0.3">
      <c r="C8" s="14" t="s">
        <v>156</v>
      </c>
      <c r="E8" s="27">
        <v>2.2000000000000002</v>
      </c>
      <c r="F8" s="27"/>
      <c r="G8" s="27">
        <v>2.37</v>
      </c>
      <c r="H8" s="27"/>
      <c r="I8" s="27">
        <v>2.66</v>
      </c>
    </row>
    <row r="10" spans="2:9" x14ac:dyDescent="0.3">
      <c r="C10" s="6"/>
      <c r="D10" s="6"/>
      <c r="E10" s="4" t="str">
        <f>+$E$4</f>
        <v>Broader Market</v>
      </c>
      <c r="F10" s="4"/>
      <c r="G10" s="4" t="str">
        <f>+$G$4</f>
        <v>Submarket</v>
      </c>
      <c r="H10" s="4"/>
      <c r="I10" s="4" t="str">
        <f>+$I$4</f>
        <v>Neighborhood</v>
      </c>
    </row>
    <row r="11" spans="2:9" x14ac:dyDescent="0.3">
      <c r="C11" s="5" t="s">
        <v>161</v>
      </c>
      <c r="D11" s="5"/>
      <c r="E11" s="5" t="str">
        <f>+$E$5</f>
        <v>(Seattle Metro):</v>
      </c>
      <c r="F11" s="5"/>
      <c r="G11" s="5" t="str">
        <f>+$G$5</f>
        <v>(Urban King County):</v>
      </c>
      <c r="H11" s="5"/>
      <c r="I11" s="5" t="str">
        <f>+$I$5</f>
        <v>(Capitol Hill):</v>
      </c>
    </row>
    <row r="13" spans="2:9" x14ac:dyDescent="0.3">
      <c r="C13" s="14" t="s">
        <v>146</v>
      </c>
      <c r="E13" s="26">
        <v>3.9E-2</v>
      </c>
      <c r="F13" s="26"/>
      <c r="G13" s="26">
        <v>4.4999999999999998E-2</v>
      </c>
      <c r="H13" s="26"/>
      <c r="I13" s="26">
        <v>3.4000000000000002E-2</v>
      </c>
    </row>
    <row r="14" spans="2:9" x14ac:dyDescent="0.3">
      <c r="C14" s="14" t="s">
        <v>147</v>
      </c>
      <c r="E14" s="26">
        <v>3.7999999999999999E-2</v>
      </c>
      <c r="F14" s="26"/>
      <c r="G14" s="26">
        <v>4.5999999999999999E-2</v>
      </c>
      <c r="H14" s="26"/>
      <c r="I14" s="26">
        <v>2.9000000000000001E-2</v>
      </c>
    </row>
    <row r="15" spans="2:9" x14ac:dyDescent="0.3">
      <c r="C15" s="14" t="s">
        <v>148</v>
      </c>
      <c r="E15" s="26">
        <v>3.6999999999999998E-2</v>
      </c>
      <c r="F15" s="26"/>
      <c r="G15" s="26">
        <v>3.9E-2</v>
      </c>
      <c r="H15" s="26"/>
      <c r="I15" s="26">
        <v>3.5999999999999997E-2</v>
      </c>
    </row>
    <row r="16" spans="2:9" x14ac:dyDescent="0.3">
      <c r="C16" s="14" t="s">
        <v>149</v>
      </c>
      <c r="E16" s="26">
        <v>3.5000000000000003E-2</v>
      </c>
      <c r="F16" s="26"/>
      <c r="G16" s="26">
        <v>4.1000000000000002E-2</v>
      </c>
      <c r="H16" s="26"/>
      <c r="I16" s="26">
        <v>2.3E-2</v>
      </c>
    </row>
    <row r="17" spans="3:9" x14ac:dyDescent="0.3">
      <c r="C17" s="14" t="s">
        <v>150</v>
      </c>
      <c r="E17" s="26">
        <v>4.1000000000000002E-2</v>
      </c>
      <c r="F17" s="26"/>
      <c r="G17" s="26">
        <v>4.2000000000000003E-2</v>
      </c>
      <c r="H17" s="26"/>
      <c r="I17" s="26">
        <v>2.5000000000000001E-2</v>
      </c>
    </row>
    <row r="18" spans="3:9" x14ac:dyDescent="0.3">
      <c r="C18" s="14" t="s">
        <v>151</v>
      </c>
      <c r="E18" s="26">
        <v>4.2999999999999997E-2</v>
      </c>
      <c r="F18" s="26"/>
      <c r="G18" s="26">
        <v>4.3999999999999997E-2</v>
      </c>
      <c r="H18" s="26"/>
      <c r="I18" s="26">
        <v>2.8000000000000001E-2</v>
      </c>
    </row>
    <row r="19" spans="3:9" x14ac:dyDescent="0.3">
      <c r="C19" s="14" t="s">
        <v>152</v>
      </c>
      <c r="E19" s="26">
        <v>4.2999999999999997E-2</v>
      </c>
      <c r="F19" s="26"/>
      <c r="G19" s="26">
        <v>4.5999999999999999E-2</v>
      </c>
      <c r="H19" s="26"/>
      <c r="I19" s="26">
        <v>0.03</v>
      </c>
    </row>
    <row r="20" spans="3:9" x14ac:dyDescent="0.3">
      <c r="C20" s="14" t="s">
        <v>153</v>
      </c>
      <c r="E20" s="26">
        <v>4.3999999999999997E-2</v>
      </c>
      <c r="F20" s="26"/>
      <c r="G20" s="26">
        <v>4.8000000000000001E-2</v>
      </c>
      <c r="H20" s="26"/>
      <c r="I20" s="26">
        <v>3.3000000000000002E-2</v>
      </c>
    </row>
    <row r="21" spans="3:9" x14ac:dyDescent="0.3">
      <c r="C21" s="14" t="s">
        <v>154</v>
      </c>
      <c r="E21" s="26">
        <v>4.4999999999999998E-2</v>
      </c>
      <c r="F21" s="26"/>
      <c r="G21" s="26">
        <v>0.05</v>
      </c>
      <c r="H21" s="26"/>
      <c r="I21" s="26">
        <v>3.6999999999999998E-2</v>
      </c>
    </row>
    <row r="23" spans="3:9" x14ac:dyDescent="0.3">
      <c r="C23" s="6"/>
      <c r="D23" s="6"/>
      <c r="E23" s="4" t="str">
        <f>+$E$4</f>
        <v>Broader Market</v>
      </c>
      <c r="F23" s="4"/>
      <c r="G23" s="4" t="str">
        <f>+$G$4</f>
        <v>Submarket</v>
      </c>
      <c r="H23" s="4"/>
      <c r="I23" s="4" t="str">
        <f>+$I$4</f>
        <v>Neighborhood</v>
      </c>
    </row>
    <row r="24" spans="3:9" x14ac:dyDescent="0.3">
      <c r="C24" s="5" t="s">
        <v>158</v>
      </c>
      <c r="D24" s="5"/>
      <c r="E24" s="5" t="str">
        <f>+$E$5</f>
        <v>(Seattle Metro):</v>
      </c>
      <c r="F24" s="5"/>
      <c r="G24" s="5" t="str">
        <f>+$G$5</f>
        <v>(Urban King County):</v>
      </c>
      <c r="H24" s="5"/>
      <c r="I24" s="5" t="str">
        <f>+$I$5</f>
        <v>(Capitol Hill):</v>
      </c>
    </row>
    <row r="26" spans="3:9" x14ac:dyDescent="0.3">
      <c r="C26" s="14" t="str">
        <f>+C13</f>
        <v>2011 (Actual):</v>
      </c>
      <c r="E26" s="8">
        <v>1318</v>
      </c>
      <c r="F26" s="26"/>
      <c r="G26" s="8">
        <v>620</v>
      </c>
      <c r="H26" s="26"/>
      <c r="I26" s="8" t="s">
        <v>160</v>
      </c>
    </row>
    <row r="27" spans="3:9" x14ac:dyDescent="0.3">
      <c r="C27" s="14" t="str">
        <f t="shared" ref="C27:C34" si="0">+C14</f>
        <v>2012 (Actual):</v>
      </c>
      <c r="E27" s="8">
        <v>4426</v>
      </c>
      <c r="F27" s="26"/>
      <c r="G27" s="8">
        <v>2696</v>
      </c>
      <c r="H27" s="26"/>
      <c r="I27" s="8" t="s">
        <v>160</v>
      </c>
    </row>
    <row r="28" spans="3:9" x14ac:dyDescent="0.3">
      <c r="C28" s="14" t="str">
        <f t="shared" si="0"/>
        <v>2013 (Actual):</v>
      </c>
      <c r="E28" s="8">
        <v>5986</v>
      </c>
      <c r="F28" s="26"/>
      <c r="G28" s="8">
        <v>4031</v>
      </c>
      <c r="H28" s="26"/>
      <c r="I28" s="8" t="s">
        <v>160</v>
      </c>
    </row>
    <row r="29" spans="3:9" x14ac:dyDescent="0.3">
      <c r="C29" s="14" t="str">
        <f t="shared" si="0"/>
        <v>2014 (Actual):</v>
      </c>
      <c r="E29" s="8">
        <v>8128</v>
      </c>
      <c r="F29" s="26"/>
      <c r="G29" s="8">
        <v>5781</v>
      </c>
      <c r="H29" s="26"/>
      <c r="I29" s="8">
        <v>778</v>
      </c>
    </row>
    <row r="30" spans="3:9" x14ac:dyDescent="0.3">
      <c r="C30" s="14" t="str">
        <f t="shared" si="0"/>
        <v>2015 (Projected):</v>
      </c>
      <c r="E30" s="8">
        <f>+G30+593+1769+698+983+995</f>
        <v>14554</v>
      </c>
      <c r="F30" s="26"/>
      <c r="G30" s="8">
        <v>9516</v>
      </c>
      <c r="H30" s="26"/>
      <c r="I30" s="8">
        <v>1326</v>
      </c>
    </row>
    <row r="31" spans="3:9" x14ac:dyDescent="0.3">
      <c r="C31" s="14" t="str">
        <f t="shared" si="0"/>
        <v>2016 (Projected):</v>
      </c>
      <c r="E31" s="8">
        <f>+G31+321+2815+1968+0+410</f>
        <v>12757</v>
      </c>
      <c r="F31" s="26"/>
      <c r="G31" s="8">
        <v>7243</v>
      </c>
      <c r="H31" s="26"/>
      <c r="I31" s="8">
        <v>682</v>
      </c>
    </row>
    <row r="32" spans="3:9" x14ac:dyDescent="0.3">
      <c r="C32" s="14" t="str">
        <f t="shared" si="0"/>
        <v>2017 (Projected):</v>
      </c>
      <c r="E32" s="8">
        <f>+G32+485+1317+328+0+407</f>
        <v>12871</v>
      </c>
      <c r="F32" s="26"/>
      <c r="G32" s="8">
        <v>10334</v>
      </c>
      <c r="H32" s="26"/>
      <c r="I32" s="8">
        <v>738</v>
      </c>
    </row>
    <row r="33" spans="3:9" x14ac:dyDescent="0.3">
      <c r="C33" s="14" t="str">
        <f t="shared" si="0"/>
        <v>2018 (Projected):</v>
      </c>
      <c r="E33" s="8">
        <f>+G33+0+621+0+0+0</f>
        <v>2391</v>
      </c>
      <c r="F33" s="26"/>
      <c r="G33" s="8">
        <v>1770</v>
      </c>
      <c r="H33" s="26"/>
      <c r="I33" s="8">
        <v>20</v>
      </c>
    </row>
    <row r="34" spans="3:9" x14ac:dyDescent="0.3">
      <c r="C34" s="14" t="str">
        <f t="shared" si="0"/>
        <v>2019 (Projected):</v>
      </c>
      <c r="E34" s="8">
        <f>+G34+2026/2+1166/2+2771/2+1163/2+1307/2</f>
        <v>14148</v>
      </c>
      <c r="F34" s="26"/>
      <c r="G34" s="8">
        <f>19863/2</f>
        <v>9931.5</v>
      </c>
      <c r="H34" s="26"/>
      <c r="I34" s="8">
        <f>576/2</f>
        <v>288</v>
      </c>
    </row>
    <row r="35" spans="3:9" x14ac:dyDescent="0.3">
      <c r="E35" s="15"/>
      <c r="F35" s="15"/>
      <c r="G35" s="15"/>
    </row>
    <row r="36" spans="3:9" x14ac:dyDescent="0.3">
      <c r="C36" s="6"/>
      <c r="D36" s="6"/>
      <c r="E36" s="4" t="str">
        <f>+$E$4</f>
        <v>Broader Market</v>
      </c>
      <c r="F36" s="4"/>
      <c r="G36" s="4" t="str">
        <f>+$G$4</f>
        <v>Submarket</v>
      </c>
      <c r="H36" s="4"/>
      <c r="I36" s="4" t="str">
        <f>+$I$4</f>
        <v>Neighborhood</v>
      </c>
    </row>
    <row r="37" spans="3:9" x14ac:dyDescent="0.3">
      <c r="C37" s="5" t="s">
        <v>159</v>
      </c>
      <c r="D37" s="5"/>
      <c r="E37" s="5" t="str">
        <f>+$E$5</f>
        <v>(Seattle Metro):</v>
      </c>
      <c r="F37" s="5"/>
      <c r="G37" s="5" t="str">
        <f>+$G$5</f>
        <v>(Urban King County):</v>
      </c>
      <c r="H37" s="5"/>
      <c r="I37" s="5" t="str">
        <f>+$I$5</f>
        <v>(Capitol Hill):</v>
      </c>
    </row>
    <row r="39" spans="3:9" x14ac:dyDescent="0.3">
      <c r="C39" s="14" t="str">
        <f>+C26</f>
        <v>2011 (Actual):</v>
      </c>
      <c r="E39" s="8">
        <v>3100</v>
      </c>
      <c r="F39" s="26"/>
      <c r="G39" s="8">
        <v>763</v>
      </c>
      <c r="H39" s="26"/>
      <c r="I39" s="8" t="s">
        <v>160</v>
      </c>
    </row>
    <row r="40" spans="3:9" x14ac:dyDescent="0.3">
      <c r="C40" s="14" t="str">
        <f t="shared" ref="C40:C47" si="1">+C27</f>
        <v>2012 (Actual):</v>
      </c>
      <c r="E40" s="8">
        <v>6300</v>
      </c>
      <c r="F40" s="26"/>
      <c r="G40" s="8">
        <v>2282</v>
      </c>
      <c r="H40" s="26"/>
      <c r="I40" s="8" t="s">
        <v>160</v>
      </c>
    </row>
    <row r="41" spans="3:9" x14ac:dyDescent="0.3">
      <c r="C41" s="14" t="str">
        <f t="shared" si="1"/>
        <v>2013 (Actual):</v>
      </c>
      <c r="E41" s="8">
        <v>9000</v>
      </c>
      <c r="F41" s="26"/>
      <c r="G41" s="8">
        <v>4499</v>
      </c>
      <c r="H41" s="26"/>
      <c r="I41" s="8" t="s">
        <v>160</v>
      </c>
    </row>
    <row r="42" spans="3:9" x14ac:dyDescent="0.3">
      <c r="C42" s="14" t="str">
        <f t="shared" si="1"/>
        <v>2014 (Actual):</v>
      </c>
      <c r="E42" s="8">
        <f>4414*2</f>
        <v>8828</v>
      </c>
      <c r="F42" s="26"/>
      <c r="G42" s="8">
        <f>75%*E42</f>
        <v>6621</v>
      </c>
      <c r="H42" s="26"/>
      <c r="I42" s="8" t="s">
        <v>160</v>
      </c>
    </row>
    <row r="43" spans="3:9" x14ac:dyDescent="0.3">
      <c r="C43" s="14" t="str">
        <f t="shared" si="1"/>
        <v>2015 (Projected):</v>
      </c>
      <c r="E43" s="8">
        <v>12105</v>
      </c>
      <c r="F43" s="26"/>
      <c r="G43" s="8">
        <f>73%*E43</f>
        <v>8836.65</v>
      </c>
      <c r="H43" s="26"/>
      <c r="I43" s="8" t="s">
        <v>160</v>
      </c>
    </row>
    <row r="44" spans="3:9" x14ac:dyDescent="0.3">
      <c r="C44" s="14" t="str">
        <f t="shared" si="1"/>
        <v>2016 (Projected):</v>
      </c>
      <c r="E44" s="8">
        <v>8100</v>
      </c>
      <c r="F44" s="26"/>
      <c r="G44" s="8">
        <f>70%*E44</f>
        <v>5670</v>
      </c>
      <c r="H44" s="26"/>
      <c r="I44" s="8" t="s">
        <v>160</v>
      </c>
    </row>
    <row r="45" spans="3:9" x14ac:dyDescent="0.3">
      <c r="C45" s="14" t="str">
        <f t="shared" si="1"/>
        <v>2017 (Projected):</v>
      </c>
      <c r="E45" s="8">
        <v>7900</v>
      </c>
      <c r="F45" s="26"/>
      <c r="G45" s="8">
        <f>68%*E45</f>
        <v>5372</v>
      </c>
      <c r="H45" s="26"/>
      <c r="I45" s="8" t="s">
        <v>160</v>
      </c>
    </row>
    <row r="46" spans="3:9" x14ac:dyDescent="0.3">
      <c r="C46" s="14" t="str">
        <f t="shared" si="1"/>
        <v>2018 (Projected):</v>
      </c>
      <c r="E46" s="8">
        <v>7400</v>
      </c>
      <c r="F46" s="26"/>
      <c r="G46" s="8">
        <f>68%*E46</f>
        <v>5032</v>
      </c>
      <c r="H46" s="26"/>
      <c r="I46" s="8" t="s">
        <v>160</v>
      </c>
    </row>
    <row r="47" spans="3:9" x14ac:dyDescent="0.3">
      <c r="C47" s="14" t="str">
        <f t="shared" si="1"/>
        <v>2019 (Projected):</v>
      </c>
      <c r="E47" s="8">
        <v>7350</v>
      </c>
      <c r="F47" s="26"/>
      <c r="G47" s="8">
        <f>65%*E47</f>
        <v>4777.5</v>
      </c>
      <c r="H47" s="26"/>
      <c r="I47" s="8" t="s">
        <v>160</v>
      </c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M17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15.5546875" customWidth="1"/>
    <col min="4" max="4" width="2.77734375" customWidth="1"/>
    <col min="5" max="6" width="12.77734375" customWidth="1"/>
    <col min="7" max="7" width="2.77734375" customWidth="1"/>
    <col min="8" max="9" width="12.77734375" customWidth="1"/>
    <col min="10" max="10" width="2.77734375" customWidth="1"/>
    <col min="11" max="12" width="12.77734375" customWidth="1"/>
    <col min="13" max="15" width="2.77734375" customWidth="1"/>
  </cols>
  <sheetData>
    <row r="2" spans="2:13" x14ac:dyDescent="0.3">
      <c r="B2" s="1" t="s">
        <v>167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4" spans="2:13" x14ac:dyDescent="0.3">
      <c r="C4" s="6"/>
      <c r="D4" s="6"/>
      <c r="E4" s="28" t="s">
        <v>164</v>
      </c>
      <c r="F4" s="28"/>
      <c r="G4" s="29"/>
      <c r="H4" s="28" t="s">
        <v>170</v>
      </c>
      <c r="I4" s="28"/>
      <c r="J4" s="29"/>
      <c r="K4" s="28" t="s">
        <v>171</v>
      </c>
      <c r="L4" s="28"/>
      <c r="M4" s="4"/>
    </row>
    <row r="5" spans="2:13" x14ac:dyDescent="0.3">
      <c r="C5" s="5" t="s">
        <v>168</v>
      </c>
      <c r="D5" s="5"/>
      <c r="E5" s="5" t="s">
        <v>163</v>
      </c>
      <c r="F5" s="5" t="s">
        <v>165</v>
      </c>
      <c r="G5" s="5"/>
      <c r="H5" s="5" t="s">
        <v>169</v>
      </c>
      <c r="I5" s="5" t="s">
        <v>165</v>
      </c>
      <c r="J5" s="5"/>
      <c r="K5" s="5" t="s">
        <v>171</v>
      </c>
      <c r="L5" s="5" t="s">
        <v>165</v>
      </c>
      <c r="M5" s="5"/>
    </row>
    <row r="7" spans="2:13" x14ac:dyDescent="0.3">
      <c r="C7" s="14" t="s">
        <v>166</v>
      </c>
      <c r="E7" s="8">
        <v>2615099</v>
      </c>
      <c r="F7" s="30">
        <v>9.4999999999999998E-3</v>
      </c>
      <c r="H7" s="8">
        <v>1399900</v>
      </c>
      <c r="I7" s="30">
        <v>-5.2999999999999999E-2</v>
      </c>
      <c r="K7" s="8">
        <v>1054885</v>
      </c>
      <c r="L7" s="30">
        <v>1.0800000000000001E-2</v>
      </c>
    </row>
    <row r="8" spans="2:13" x14ac:dyDescent="0.3">
      <c r="C8" s="14" t="s">
        <v>162</v>
      </c>
      <c r="E8" s="8">
        <v>2644584</v>
      </c>
      <c r="F8" s="30">
        <v>1.1299999999999999E-2</v>
      </c>
      <c r="G8" s="8"/>
      <c r="H8" s="8">
        <v>1376850</v>
      </c>
      <c r="I8" s="30">
        <v>-1.6500000000000001E-2</v>
      </c>
      <c r="J8" s="8"/>
      <c r="K8" s="8">
        <v>1062338</v>
      </c>
      <c r="L8" s="30">
        <v>7.1000000000000004E-3</v>
      </c>
      <c r="M8" s="8"/>
    </row>
    <row r="9" spans="2:13" x14ac:dyDescent="0.3">
      <c r="C9" s="14" t="s">
        <v>146</v>
      </c>
      <c r="E9" s="8">
        <v>2659600</v>
      </c>
      <c r="F9" s="30">
        <v>5.7000000000000002E-3</v>
      </c>
      <c r="G9" s="8"/>
      <c r="H9" s="8">
        <v>1405475</v>
      </c>
      <c r="I9" s="30">
        <v>2.0799999999999999E-2</v>
      </c>
      <c r="J9" s="8"/>
      <c r="K9" s="8">
        <v>1069930</v>
      </c>
      <c r="L9" s="30">
        <v>7.1000000000000004E-3</v>
      </c>
      <c r="M9" s="8"/>
    </row>
    <row r="10" spans="2:13" x14ac:dyDescent="0.3">
      <c r="C10" s="14" t="s">
        <v>147</v>
      </c>
      <c r="E10" s="8">
        <v>2679900</v>
      </c>
      <c r="F10" s="30">
        <v>7.6E-3</v>
      </c>
      <c r="G10" s="8"/>
      <c r="H10" s="8">
        <v>1443992</v>
      </c>
      <c r="I10" s="30">
        <v>2.7400000000000001E-2</v>
      </c>
      <c r="J10" s="8"/>
      <c r="K10" s="8">
        <v>1081710</v>
      </c>
      <c r="L10" s="30">
        <v>1.0999999999999999E-2</v>
      </c>
      <c r="M10" s="8"/>
    </row>
    <row r="11" spans="2:13" x14ac:dyDescent="0.3">
      <c r="C11" s="14" t="s">
        <v>148</v>
      </c>
      <c r="E11" s="8">
        <v>2712400</v>
      </c>
      <c r="F11" s="30">
        <v>1.21E-2</v>
      </c>
      <c r="G11" s="8"/>
      <c r="H11" s="8">
        <v>1486236</v>
      </c>
      <c r="I11" s="30">
        <v>2.93E-2</v>
      </c>
      <c r="J11" s="8"/>
      <c r="K11" s="8">
        <v>1118213</v>
      </c>
      <c r="L11" s="30">
        <v>3.3700000000000001E-2</v>
      </c>
      <c r="M11" s="8"/>
    </row>
    <row r="12" spans="2:13" x14ac:dyDescent="0.3">
      <c r="C12" s="14" t="s">
        <v>149</v>
      </c>
      <c r="E12" s="8">
        <v>2748694</v>
      </c>
      <c r="F12" s="30">
        <v>1.34E-2</v>
      </c>
      <c r="G12" s="8"/>
      <c r="H12" s="8">
        <v>1528952</v>
      </c>
      <c r="I12" s="30">
        <v>2.87E-2</v>
      </c>
      <c r="J12" s="8"/>
      <c r="K12" s="8">
        <v>1131992</v>
      </c>
      <c r="L12" s="30">
        <v>1.23E-2</v>
      </c>
      <c r="M12" s="8"/>
    </row>
    <row r="13" spans="2:13" x14ac:dyDescent="0.3">
      <c r="C13" s="14" t="s">
        <v>150</v>
      </c>
      <c r="E13" s="8">
        <v>2781611</v>
      </c>
      <c r="F13" s="30">
        <v>1.2E-2</v>
      </c>
      <c r="G13" s="8"/>
      <c r="H13" s="8">
        <v>1563068</v>
      </c>
      <c r="I13" s="30">
        <v>2.23E-2</v>
      </c>
      <c r="J13" s="8"/>
      <c r="K13" s="8">
        <v>1144418</v>
      </c>
      <c r="L13" s="30">
        <v>1.0999999999999999E-2</v>
      </c>
      <c r="M13" s="8"/>
    </row>
    <row r="14" spans="2:13" x14ac:dyDescent="0.3">
      <c r="C14" s="14" t="s">
        <v>151</v>
      </c>
      <c r="E14" s="8">
        <v>2811229</v>
      </c>
      <c r="F14" s="30">
        <v>1.06E-2</v>
      </c>
      <c r="G14" s="8"/>
      <c r="H14" s="8">
        <v>1593462</v>
      </c>
      <c r="I14" s="30">
        <v>1.9400000000000001E-2</v>
      </c>
      <c r="J14" s="8"/>
      <c r="K14" s="8">
        <v>1156277</v>
      </c>
      <c r="L14" s="30">
        <v>1.04E-2</v>
      </c>
      <c r="M14" s="8"/>
    </row>
    <row r="15" spans="2:13" x14ac:dyDescent="0.3">
      <c r="C15" s="14" t="s">
        <v>152</v>
      </c>
      <c r="E15" s="8">
        <v>2840094</v>
      </c>
      <c r="F15" s="30">
        <v>1.03E-2</v>
      </c>
      <c r="G15" s="8"/>
      <c r="H15" s="8">
        <v>1618632</v>
      </c>
      <c r="I15" s="30">
        <v>1.5800000000000002E-2</v>
      </c>
      <c r="J15" s="8"/>
      <c r="K15" s="8">
        <v>1167914</v>
      </c>
      <c r="L15" s="30">
        <v>1.01E-2</v>
      </c>
      <c r="M15" s="8"/>
    </row>
    <row r="16" spans="2:13" x14ac:dyDescent="0.3">
      <c r="C16" s="14" t="s">
        <v>153</v>
      </c>
      <c r="E16" s="8">
        <v>2868487</v>
      </c>
      <c r="F16" s="30">
        <v>0.01</v>
      </c>
      <c r="G16" s="8"/>
      <c r="H16" s="8">
        <v>1642399</v>
      </c>
      <c r="I16" s="30">
        <v>1.47E-2</v>
      </c>
      <c r="J16" s="8"/>
      <c r="K16" s="8">
        <v>1179556</v>
      </c>
      <c r="L16" s="30">
        <v>0.01</v>
      </c>
      <c r="M16" s="8"/>
    </row>
    <row r="17" spans="3:13" x14ac:dyDescent="0.3">
      <c r="C17" s="14" t="s">
        <v>154</v>
      </c>
      <c r="E17" s="8">
        <v>2895738</v>
      </c>
      <c r="F17" s="30">
        <v>9.4999999999999998E-3</v>
      </c>
      <c r="G17" s="8"/>
      <c r="H17" s="8">
        <v>1665721</v>
      </c>
      <c r="I17" s="30">
        <v>1.4200000000000001E-2</v>
      </c>
      <c r="J17" s="8"/>
      <c r="K17" s="8">
        <v>1191352</v>
      </c>
      <c r="L17" s="30">
        <v>0.01</v>
      </c>
      <c r="M17" s="8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9"/>
  <sheetViews>
    <sheetView showGridLines="0" tabSelected="1" zoomScaleNormal="100" workbookViewId="0">
      <selection activeCell="B2" sqref="B2"/>
    </sheetView>
  </sheetViews>
  <sheetFormatPr defaultRowHeight="14.4" outlineLevelCol="1" x14ac:dyDescent="0.3"/>
  <cols>
    <col min="1" max="2" width="2.77734375" customWidth="1"/>
    <col min="3" max="3" width="30.77734375" customWidth="1"/>
    <col min="4" max="4" width="19.109375" hidden="1" customWidth="1" outlineLevel="1"/>
    <col min="5" max="5" width="19.109375" customWidth="1" collapsed="1"/>
    <col min="6" max="8" width="10.77734375" customWidth="1"/>
    <col min="9" max="10" width="2.77734375" customWidth="1"/>
  </cols>
  <sheetData>
    <row r="2" spans="2:8" x14ac:dyDescent="0.3">
      <c r="B2" s="1" t="s">
        <v>172</v>
      </c>
      <c r="C2" s="1"/>
      <c r="D2" s="1"/>
      <c r="E2" s="2"/>
      <c r="F2" s="2"/>
      <c r="G2" s="2"/>
      <c r="H2" s="2"/>
    </row>
    <row r="4" spans="2:8" x14ac:dyDescent="0.3">
      <c r="C4" s="5" t="s">
        <v>175</v>
      </c>
      <c r="D4" s="5"/>
      <c r="E4" s="5"/>
      <c r="F4" s="5"/>
      <c r="G4" s="5" t="s">
        <v>174</v>
      </c>
      <c r="H4" s="5" t="s">
        <v>182</v>
      </c>
    </row>
    <row r="5" spans="2:8" x14ac:dyDescent="0.3">
      <c r="C5" t="s">
        <v>181</v>
      </c>
      <c r="G5" s="53">
        <v>234</v>
      </c>
      <c r="H5" s="53">
        <v>186215</v>
      </c>
    </row>
    <row r="7" spans="2:8" x14ac:dyDescent="0.3">
      <c r="C7" s="6"/>
      <c r="D7" s="6"/>
      <c r="E7" s="6"/>
      <c r="F7" s="4" t="s">
        <v>173</v>
      </c>
      <c r="G7" s="4" t="s">
        <v>179</v>
      </c>
      <c r="H7" s="4" t="s">
        <v>180</v>
      </c>
    </row>
    <row r="8" spans="2:8" x14ac:dyDescent="0.3">
      <c r="C8" s="5" t="s">
        <v>202</v>
      </c>
      <c r="D8" s="5" t="s">
        <v>206</v>
      </c>
      <c r="E8" s="5" t="s">
        <v>196</v>
      </c>
      <c r="F8" s="5" t="s">
        <v>207</v>
      </c>
      <c r="G8" s="5" t="s">
        <v>64</v>
      </c>
      <c r="H8" s="5" t="s">
        <v>182</v>
      </c>
    </row>
    <row r="9" spans="2:8" x14ac:dyDescent="0.3">
      <c r="C9" s="14" t="s">
        <v>176</v>
      </c>
      <c r="D9" s="14"/>
      <c r="E9" s="10"/>
      <c r="F9" s="18"/>
      <c r="G9" s="17"/>
      <c r="H9" s="12"/>
    </row>
    <row r="10" spans="2:8" x14ac:dyDescent="0.3">
      <c r="C10" s="54" t="s">
        <v>178</v>
      </c>
      <c r="D10" s="54"/>
      <c r="E10" s="9">
        <v>20000000</v>
      </c>
      <c r="F10" s="18"/>
      <c r="G10" s="16">
        <f>+$E10/G$5</f>
        <v>85470.085470085469</v>
      </c>
      <c r="H10" s="11">
        <f>+$E10/H$5</f>
        <v>107.40273339956502</v>
      </c>
    </row>
    <row r="11" spans="2:8" x14ac:dyDescent="0.3">
      <c r="C11" s="54" t="s">
        <v>201</v>
      </c>
      <c r="D11" s="54"/>
      <c r="E11" s="10">
        <v>1500000</v>
      </c>
      <c r="F11" s="18"/>
      <c r="G11" s="17">
        <f t="shared" ref="G11:H11" si="0">+$E11/G$5</f>
        <v>6410.2564102564102</v>
      </c>
      <c r="H11" s="12">
        <f t="shared" si="0"/>
        <v>8.0552050049673767</v>
      </c>
    </row>
    <row r="12" spans="2:8" x14ac:dyDescent="0.3">
      <c r="C12" s="55" t="s">
        <v>177</v>
      </c>
      <c r="D12" s="55"/>
      <c r="E12" s="57">
        <f>SUM(E10:E11)</f>
        <v>21500000</v>
      </c>
      <c r="F12" s="71">
        <f>+E12/E$34</f>
        <v>0.23524184568607595</v>
      </c>
      <c r="G12" s="56">
        <f>SUM(G10:G11)</f>
        <v>91880.341880341875</v>
      </c>
      <c r="H12" s="58">
        <f>SUM(H10:H11)</f>
        <v>115.4579384045324</v>
      </c>
    </row>
    <row r="13" spans="2:8" x14ac:dyDescent="0.3">
      <c r="E13" s="10"/>
      <c r="F13" s="18"/>
      <c r="G13" s="17"/>
      <c r="H13" s="12"/>
    </row>
    <row r="14" spans="2:8" x14ac:dyDescent="0.3">
      <c r="C14" s="14" t="s">
        <v>183</v>
      </c>
      <c r="D14" s="14"/>
      <c r="E14" s="10"/>
      <c r="F14" s="18"/>
      <c r="G14" s="17"/>
      <c r="H14" s="12"/>
    </row>
    <row r="15" spans="2:8" x14ac:dyDescent="0.3">
      <c r="C15" s="54" t="s">
        <v>203</v>
      </c>
      <c r="D15" s="54"/>
      <c r="E15" s="10">
        <v>48035700</v>
      </c>
      <c r="F15" s="18"/>
      <c r="G15" s="17">
        <f t="shared" ref="G15:H17" si="1">+$E15/G$5</f>
        <v>205280.76923076922</v>
      </c>
      <c r="H15" s="12">
        <f t="shared" si="1"/>
        <v>257.95827403807425</v>
      </c>
    </row>
    <row r="16" spans="2:8" x14ac:dyDescent="0.3">
      <c r="C16" s="54" t="s">
        <v>186</v>
      </c>
      <c r="D16" s="18">
        <v>0.03</v>
      </c>
      <c r="E16" s="69">
        <f>+D16*E$15</f>
        <v>1441071</v>
      </c>
      <c r="F16" s="18"/>
      <c r="G16" s="17">
        <f t="shared" si="1"/>
        <v>6158.4230769230771</v>
      </c>
      <c r="H16" s="12">
        <f t="shared" si="1"/>
        <v>7.7387482211422283</v>
      </c>
    </row>
    <row r="17" spans="3:8" x14ac:dyDescent="0.3">
      <c r="C17" s="54" t="s">
        <v>187</v>
      </c>
      <c r="D17" s="18">
        <v>0.05</v>
      </c>
      <c r="E17" s="69">
        <f t="shared" ref="E17" si="2">+D17*E$15</f>
        <v>2401785</v>
      </c>
      <c r="F17" s="18"/>
      <c r="G17" s="17">
        <f t="shared" si="1"/>
        <v>10264.038461538461</v>
      </c>
      <c r="H17" s="12">
        <f t="shared" si="1"/>
        <v>12.897913701903713</v>
      </c>
    </row>
    <row r="18" spans="3:8" x14ac:dyDescent="0.3">
      <c r="C18" s="55" t="s">
        <v>184</v>
      </c>
      <c r="D18" s="55"/>
      <c r="E18" s="57">
        <f>SUM(E15:E17)</f>
        <v>51878556</v>
      </c>
      <c r="F18" s="71">
        <f>+E18/E$34</f>
        <v>0.5676282448822535</v>
      </c>
      <c r="G18" s="56">
        <f>SUM(G15:G17)</f>
        <v>221703.23076923075</v>
      </c>
      <c r="H18" s="58">
        <f>SUM(H15:H17)</f>
        <v>278.59493596112014</v>
      </c>
    </row>
    <row r="20" spans="3:8" x14ac:dyDescent="0.3">
      <c r="C20" s="14" t="s">
        <v>188</v>
      </c>
      <c r="D20" s="14"/>
    </row>
    <row r="21" spans="3:8" x14ac:dyDescent="0.3">
      <c r="C21" s="54" t="s">
        <v>189</v>
      </c>
      <c r="D21" s="54"/>
      <c r="E21" s="10">
        <v>2295150</v>
      </c>
      <c r="F21" s="18"/>
      <c r="G21" s="17">
        <f t="shared" ref="G21:H29" si="3">+$E21/G$5</f>
        <v>9808.3333333333339</v>
      </c>
      <c r="H21" s="12">
        <f t="shared" si="3"/>
        <v>12.325269178100582</v>
      </c>
    </row>
    <row r="22" spans="3:8" x14ac:dyDescent="0.3">
      <c r="C22" s="54" t="s">
        <v>190</v>
      </c>
      <c r="D22" s="54"/>
      <c r="E22" s="10">
        <v>550000</v>
      </c>
      <c r="F22" s="18"/>
      <c r="G22" s="17">
        <f t="shared" si="3"/>
        <v>2350.4273504273506</v>
      </c>
      <c r="H22" s="12">
        <f t="shared" si="3"/>
        <v>2.953575168488038</v>
      </c>
    </row>
    <row r="23" spans="3:8" x14ac:dyDescent="0.3">
      <c r="C23" s="54" t="s">
        <v>205</v>
      </c>
      <c r="D23" s="54"/>
      <c r="E23" s="10">
        <v>712000</v>
      </c>
      <c r="F23" s="18"/>
      <c r="G23" s="17">
        <f t="shared" si="3"/>
        <v>3042.735042735043</v>
      </c>
      <c r="H23" s="12">
        <f t="shared" si="3"/>
        <v>3.8235373090245148</v>
      </c>
    </row>
    <row r="24" spans="3:8" x14ac:dyDescent="0.3">
      <c r="C24" s="54" t="s">
        <v>191</v>
      </c>
      <c r="D24" s="54"/>
      <c r="E24" s="10">
        <v>695123</v>
      </c>
      <c r="F24" s="18"/>
      <c r="G24" s="17">
        <f t="shared" si="3"/>
        <v>2970.6111111111113</v>
      </c>
      <c r="H24" s="12">
        <f t="shared" si="3"/>
        <v>3.7329055124452917</v>
      </c>
    </row>
    <row r="25" spans="3:8" x14ac:dyDescent="0.3">
      <c r="C25" s="54" t="s">
        <v>192</v>
      </c>
      <c r="D25" s="54"/>
      <c r="E25" s="10">
        <v>395178</v>
      </c>
      <c r="F25" s="18"/>
      <c r="G25" s="17">
        <f t="shared" si="3"/>
        <v>1688.7948717948718</v>
      </c>
      <c r="H25" s="12">
        <f t="shared" si="3"/>
        <v>2.1221598689686654</v>
      </c>
    </row>
    <row r="26" spans="3:8" x14ac:dyDescent="0.3">
      <c r="C26" s="54" t="s">
        <v>193</v>
      </c>
      <c r="D26" s="54"/>
      <c r="E26" s="10">
        <v>385415</v>
      </c>
      <c r="F26" s="18"/>
      <c r="G26" s="17">
        <f t="shared" si="3"/>
        <v>1647.0726495726497</v>
      </c>
      <c r="H26" s="12">
        <f t="shared" si="3"/>
        <v>2.0697312246596677</v>
      </c>
    </row>
    <row r="27" spans="3:8" x14ac:dyDescent="0.3">
      <c r="C27" s="54" t="s">
        <v>194</v>
      </c>
      <c r="D27" s="54"/>
      <c r="E27" s="10">
        <v>3289012</v>
      </c>
      <c r="F27" s="18"/>
      <c r="G27" s="17">
        <f t="shared" si="3"/>
        <v>14055.606837606838</v>
      </c>
      <c r="H27" s="12">
        <f t="shared" si="3"/>
        <v>17.662443949198508</v>
      </c>
    </row>
    <row r="28" spans="3:8" x14ac:dyDescent="0.3">
      <c r="C28" s="54" t="s">
        <v>185</v>
      </c>
      <c r="D28" s="54"/>
      <c r="E28" s="10">
        <v>1300000</v>
      </c>
      <c r="F28" s="18"/>
      <c r="G28" s="17">
        <f t="shared" si="3"/>
        <v>5555.5555555555557</v>
      </c>
      <c r="H28" s="12">
        <f t="shared" si="3"/>
        <v>6.9811776709717259</v>
      </c>
    </row>
    <row r="29" spans="3:8" x14ac:dyDescent="0.3">
      <c r="C29" s="54" t="s">
        <v>204</v>
      </c>
      <c r="D29" s="54"/>
      <c r="E29" s="10">
        <v>2215975</v>
      </c>
      <c r="F29" s="18"/>
      <c r="G29" s="17">
        <f t="shared" si="3"/>
        <v>9469.9786324786328</v>
      </c>
      <c r="H29" s="12">
        <f t="shared" si="3"/>
        <v>11.900088607255055</v>
      </c>
    </row>
    <row r="30" spans="3:8" x14ac:dyDescent="0.3">
      <c r="C30" s="55" t="s">
        <v>195</v>
      </c>
      <c r="D30" s="55"/>
      <c r="E30" s="57">
        <f>SUM(E21:E29)</f>
        <v>11837853</v>
      </c>
      <c r="F30" s="71">
        <f>+E30/E$34</f>
        <v>0.12952364598513727</v>
      </c>
      <c r="G30" s="56">
        <f>SUM(G21:G29)</f>
        <v>50589.115384615383</v>
      </c>
      <c r="H30" s="58">
        <f>SUM(H21:H29)</f>
        <v>63.570888489112058</v>
      </c>
    </row>
    <row r="32" spans="3:8" ht="16.2" x14ac:dyDescent="0.3">
      <c r="C32" s="14" t="s">
        <v>197</v>
      </c>
      <c r="D32" s="14"/>
      <c r="E32" s="59">
        <v>6178895</v>
      </c>
      <c r="F32" s="72">
        <f>+E32/E$34</f>
        <v>6.760626344653331E-2</v>
      </c>
      <c r="G32" s="60">
        <f t="shared" ref="G32:H38" si="4">+$E32/G$5</f>
        <v>26405.534188034188</v>
      </c>
      <c r="H32" s="68">
        <f t="shared" si="4"/>
        <v>33.181510619445262</v>
      </c>
    </row>
    <row r="34" spans="3:8" x14ac:dyDescent="0.3">
      <c r="C34" s="31" t="s">
        <v>198</v>
      </c>
      <c r="D34" s="31"/>
      <c r="E34" s="61">
        <f>+E12+E18+E30+E32</f>
        <v>91395304</v>
      </c>
      <c r="F34" s="70">
        <f>+E34/E$34</f>
        <v>1</v>
      </c>
      <c r="G34" s="61">
        <f t="shared" si="4"/>
        <v>390578.22222222225</v>
      </c>
      <c r="H34" s="63">
        <f t="shared" si="4"/>
        <v>490.80527347420991</v>
      </c>
    </row>
    <row r="35" spans="3:8" x14ac:dyDescent="0.3">
      <c r="C35" s="64"/>
      <c r="D35" s="64"/>
      <c r="E35" s="65"/>
      <c r="F35" s="66"/>
      <c r="G35" s="65"/>
      <c r="H35" s="67"/>
    </row>
    <row r="36" spans="3:8" x14ac:dyDescent="0.3">
      <c r="C36" s="14" t="s">
        <v>199</v>
      </c>
      <c r="D36" s="18">
        <v>0.2</v>
      </c>
      <c r="E36" s="73">
        <f>+D36*E34</f>
        <v>18279060.800000001</v>
      </c>
      <c r="G36" s="60">
        <f t="shared" si="4"/>
        <v>78115.64444444445</v>
      </c>
      <c r="H36" s="68">
        <f t="shared" si="4"/>
        <v>98.161054694841994</v>
      </c>
    </row>
    <row r="37" spans="3:8" ht="15" thickBot="1" x14ac:dyDescent="0.35"/>
    <row r="38" spans="3:8" ht="15.6" thickTop="1" thickBot="1" x14ac:dyDescent="0.35">
      <c r="C38" s="36" t="s">
        <v>200</v>
      </c>
      <c r="D38" s="36"/>
      <c r="E38" s="39">
        <f>+E34+E36</f>
        <v>109674364.8</v>
      </c>
      <c r="F38" s="62"/>
      <c r="G38" s="39">
        <f t="shared" si="4"/>
        <v>468693.86666666664</v>
      </c>
      <c r="H38" s="40">
        <f t="shared" si="4"/>
        <v>588.96632816905185</v>
      </c>
    </row>
    <row r="39" spans="3:8" ht="15" thickTop="1" x14ac:dyDescent="0.3"/>
  </sheetData>
  <pageMargins left="0.7" right="0.7" top="0.75" bottom="0.75" header="0.3" footer="0.3"/>
  <pageSetup scale="54" orientation="portrait" r:id="rId1"/>
  <colBreaks count="1" manualBreakCount="1">
    <brk id="9" max="1048575" man="1"/>
  </colBreaks>
  <ignoredErrors>
    <ignoredError sqref="F30 F18 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Lyric-Unit-Mix</vt:lpstr>
      <vt:lpstr>Comp-Sales</vt:lpstr>
      <vt:lpstr>Apt-Comps</vt:lpstr>
      <vt:lpstr>Market-Stats</vt:lpstr>
      <vt:lpstr>Demographics</vt:lpstr>
      <vt:lpstr>Replacement-Cost</vt:lpstr>
      <vt:lpstr>'Apt-Comps'!Print_Area</vt:lpstr>
      <vt:lpstr>'Comp-Sales'!Print_Area</vt:lpstr>
      <vt:lpstr>Demographics!Print_Area</vt:lpstr>
      <vt:lpstr>'Lyric-Unit-Mix'!Print_Area</vt:lpstr>
      <vt:lpstr>'Market-Stats'!Print_Area</vt:lpstr>
      <vt:lpstr>'Replacement-Cost'!Print_Area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2015-04-09T15:14:22Z</dcterms:created>
  <dcterms:modified xsi:type="dcterms:W3CDTF">2015-04-19T04:55:53Z</dcterms:modified>
</cp:coreProperties>
</file>