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ropbox (BIWS)\M&amp;I\Course-Revisions\Real-Estate\RE-Bonus-Case-01-Multifamily-Acquisition\"/>
    </mc:Choice>
  </mc:AlternateContent>
  <bookViews>
    <workbookView xWindow="0" yWindow="0" windowWidth="23040" windowHeight="10668"/>
  </bookViews>
  <sheets>
    <sheet name="Pro-Forma" sheetId="1" r:id="rId1"/>
    <sheet name="Comp-Sales" sheetId="2" r:id="rId2"/>
  </sheets>
  <definedNames>
    <definedName name="Apt_Units">'Pro-Forma'!$E$13</definedName>
    <definedName name="CapEx_per_Unit">'Pro-Forma'!$K$17</definedName>
    <definedName name="Cost_of_Equity">'Pro-Forma'!$D$162</definedName>
    <definedName name="Discount_Rate">'Pro-Forma'!$D$163</definedName>
    <definedName name="Entry_Cap_Rate">'Pro-Forma'!$E$27</definedName>
    <definedName name="Entry_Fee_Pct">'Pro-Forma'!$E$31</definedName>
    <definedName name="Entry_Price">'Pro-Forma'!$E$26</definedName>
    <definedName name="Exit_Cap_Rate">'Pro-Forma'!$K$26</definedName>
    <definedName name="Exit_Fee_Pct">'Pro-Forma'!$K$36</definedName>
    <definedName name="Exit_Price">'Pro-Forma'!$K$27</definedName>
    <definedName name="LCs_per_Unit">'Pro-Forma'!$K$19</definedName>
    <definedName name="Loan_Amort_Period">'Pro-Forma'!$E$36</definedName>
    <definedName name="Loan_Fees">'Pro-Forma'!$E$32</definedName>
    <definedName name="Loan_Interest_Rate">'Pro-Forma'!$E$35</definedName>
    <definedName name="Loan_Prepay_Penalty">'Pro-Forma'!$E$38</definedName>
    <definedName name="Loan_Term">'Pro-Forma'!$E$37</definedName>
    <definedName name="LTV">'Pro-Forma'!$E$34</definedName>
    <definedName name="Months">'Pro-Forma'!$E$11</definedName>
    <definedName name="OpEx_per_Unit">'Pro-Forma'!$K$12</definedName>
    <definedName name="Other_Income_per_Unit">'Pro-Forma'!$K$8</definedName>
    <definedName name="_xlnm.Print_Area" localSheetId="1">'Comp-Sales'!$A$1:$T$19</definedName>
    <definedName name="_xlnm.Print_Area" localSheetId="0">'Pro-Forma'!$A$1:$R$247</definedName>
    <definedName name="Property_Name">'Pro-Forma'!$E$7</definedName>
    <definedName name="RE_Taxes_Growth_Rate">'Pro-Forma'!$K$14</definedName>
    <definedName name="RE_Taxes_per_SF">'Pro-Forma'!$K$13</definedName>
    <definedName name="Rent_per_SF">'Pro-Forma'!$K$7</definedName>
    <definedName name="Rentable_SF">'Pro-Forma'!$E$17</definedName>
    <definedName name="Reserve_per_Unit">'Pro-Forma'!$K$15</definedName>
    <definedName name="Sale_Date">'Pro-Forma'!$K$25</definedName>
    <definedName name="Scenario">'Pro-Forma'!$E$20</definedName>
    <definedName name="Start_Date">'Pro-Forma'!$E$25</definedName>
    <definedName name="Terminal_Growth_Rate">'Pro-Forma'!$I$167</definedName>
    <definedName name="TIs_per_Unit">'Pro-Forma'!$K$18</definedName>
    <definedName name="Vacancy_Rate">'Pro-Forma'!$K$10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D163" i="1"/>
  <c r="D167" i="1" l="1"/>
  <c r="D221" i="1" l="1"/>
  <c r="H239" i="1"/>
  <c r="I239" i="1" s="1"/>
  <c r="J239" i="1" s="1"/>
  <c r="K239" i="1" s="1"/>
  <c r="L239" i="1" s="1"/>
  <c r="M239" i="1" s="1"/>
  <c r="N239" i="1" s="1"/>
  <c r="O239" i="1" s="1"/>
  <c r="F240" i="1"/>
  <c r="H224" i="1"/>
  <c r="I224" i="1" s="1"/>
  <c r="J224" i="1" s="1"/>
  <c r="K224" i="1" s="1"/>
  <c r="L224" i="1" s="1"/>
  <c r="M224" i="1" s="1"/>
  <c r="N224" i="1" s="1"/>
  <c r="O224" i="1" s="1"/>
  <c r="H209" i="1"/>
  <c r="G209" i="1"/>
  <c r="F199" i="1"/>
  <c r="F200" i="1" s="1"/>
  <c r="H197" i="1"/>
  <c r="I197" i="1" s="1"/>
  <c r="J197" i="1" l="1"/>
  <c r="I209" i="1"/>
  <c r="F201" i="1"/>
  <c r="F242" i="1"/>
  <c r="F241" i="1"/>
  <c r="Q16" i="2"/>
  <c r="P16" i="2"/>
  <c r="O16" i="2"/>
  <c r="Q15" i="2"/>
  <c r="P15" i="2"/>
  <c r="O15" i="2"/>
  <c r="Q14" i="2"/>
  <c r="P14" i="2"/>
  <c r="O14" i="2"/>
  <c r="Q13" i="2"/>
  <c r="P13" i="2"/>
  <c r="O13" i="2"/>
  <c r="Q12" i="2"/>
  <c r="P12" i="2"/>
  <c r="O12" i="2"/>
  <c r="Q11" i="2"/>
  <c r="P11" i="2"/>
  <c r="O11" i="2"/>
  <c r="Q10" i="2"/>
  <c r="P10" i="2"/>
  <c r="O10" i="2"/>
  <c r="Q9" i="2"/>
  <c r="P9" i="2"/>
  <c r="O9" i="2"/>
  <c r="Q8" i="2"/>
  <c r="P8" i="2"/>
  <c r="O8" i="2"/>
  <c r="Q7" i="2"/>
  <c r="P7" i="2"/>
  <c r="O7" i="2"/>
  <c r="Q6" i="2"/>
  <c r="Q18" i="2" s="1"/>
  <c r="P6" i="2"/>
  <c r="P18" i="2" s="1"/>
  <c r="O6" i="2"/>
  <c r="O18" i="2" s="1"/>
  <c r="F202" i="1" l="1"/>
  <c r="F243" i="1"/>
  <c r="K197" i="1"/>
  <c r="J209" i="1"/>
  <c r="N18" i="2"/>
  <c r="K18" i="2"/>
  <c r="J18" i="2"/>
  <c r="I18" i="2"/>
  <c r="G18" i="2"/>
  <c r="F18" i="2"/>
  <c r="M16" i="2"/>
  <c r="S16" i="2" s="1"/>
  <c r="L16" i="2"/>
  <c r="R16" i="2" s="1"/>
  <c r="H16" i="2"/>
  <c r="M15" i="2"/>
  <c r="S15" i="2" s="1"/>
  <c r="L15" i="2"/>
  <c r="R15" i="2" s="1"/>
  <c r="H15" i="2"/>
  <c r="M14" i="2"/>
  <c r="S14" i="2" s="1"/>
  <c r="L14" i="2"/>
  <c r="R14" i="2" s="1"/>
  <c r="H14" i="2"/>
  <c r="M13" i="2"/>
  <c r="S13" i="2" s="1"/>
  <c r="L13" i="2"/>
  <c r="R13" i="2" s="1"/>
  <c r="H13" i="2"/>
  <c r="M12" i="2"/>
  <c r="S12" i="2" s="1"/>
  <c r="L12" i="2"/>
  <c r="R12" i="2" s="1"/>
  <c r="H12" i="2"/>
  <c r="M11" i="2"/>
  <c r="S11" i="2" s="1"/>
  <c r="L11" i="2"/>
  <c r="R11" i="2" s="1"/>
  <c r="H11" i="2"/>
  <c r="M10" i="2"/>
  <c r="S10" i="2" s="1"/>
  <c r="L10" i="2"/>
  <c r="R10" i="2" s="1"/>
  <c r="H10" i="2"/>
  <c r="M9" i="2"/>
  <c r="S9" i="2" s="1"/>
  <c r="L9" i="2"/>
  <c r="R9" i="2" s="1"/>
  <c r="H9" i="2"/>
  <c r="M8" i="2"/>
  <c r="S8" i="2" s="1"/>
  <c r="L8" i="2"/>
  <c r="R8" i="2" s="1"/>
  <c r="H8" i="2"/>
  <c r="M7" i="2"/>
  <c r="S7" i="2" s="1"/>
  <c r="L7" i="2"/>
  <c r="R7" i="2" s="1"/>
  <c r="H7" i="2"/>
  <c r="M6" i="2"/>
  <c r="L6" i="2"/>
  <c r="H6" i="2"/>
  <c r="R4" i="2"/>
  <c r="O4" i="2"/>
  <c r="L197" i="1" l="1"/>
  <c r="K209" i="1"/>
  <c r="F203" i="1"/>
  <c r="F244" i="1"/>
  <c r="L18" i="2"/>
  <c r="R6" i="2"/>
  <c r="R18" i="2" s="1"/>
  <c r="M18" i="2"/>
  <c r="S6" i="2"/>
  <c r="S18" i="2" s="1"/>
  <c r="H18" i="2"/>
  <c r="F204" i="1" l="1"/>
  <c r="F246" i="1" s="1"/>
  <c r="F245" i="1"/>
  <c r="M197" i="1"/>
  <c r="L209" i="1"/>
  <c r="H190" i="1"/>
  <c r="I190" i="1" s="1"/>
  <c r="J190" i="1" s="1"/>
  <c r="K190" i="1" s="1"/>
  <c r="L190" i="1" s="1"/>
  <c r="M190" i="1" s="1"/>
  <c r="N190" i="1" s="1"/>
  <c r="O190" i="1" s="1"/>
  <c r="P190" i="1" s="1"/>
  <c r="Q190" i="1" s="1"/>
  <c r="H189" i="1"/>
  <c r="I189" i="1" s="1"/>
  <c r="J189" i="1" s="1"/>
  <c r="K189" i="1" s="1"/>
  <c r="L189" i="1" s="1"/>
  <c r="M189" i="1" s="1"/>
  <c r="N189" i="1" s="1"/>
  <c r="O189" i="1" s="1"/>
  <c r="P189" i="1" s="1"/>
  <c r="Q189" i="1" s="1"/>
  <c r="N197" i="1" l="1"/>
  <c r="M209" i="1"/>
  <c r="F133" i="1"/>
  <c r="F139" i="1" s="1"/>
  <c r="O197" i="1" l="1"/>
  <c r="O209" i="1" s="1"/>
  <c r="N209" i="1"/>
  <c r="F134" i="1"/>
  <c r="E43" i="1"/>
  <c r="K45" i="1"/>
  <c r="K44" i="1"/>
  <c r="K43" i="1"/>
  <c r="K46" i="1" l="1"/>
  <c r="E44" i="1" s="1"/>
  <c r="F119" i="1"/>
  <c r="F149" i="1" l="1"/>
  <c r="F150" i="1" s="1"/>
  <c r="E45" i="1"/>
  <c r="F155" i="1" l="1"/>
  <c r="E29" i="1"/>
  <c r="E28" i="1"/>
  <c r="F109" i="1" l="1"/>
  <c r="G109" i="1" s="1"/>
  <c r="H109" i="1" s="1"/>
  <c r="I109" i="1" s="1"/>
  <c r="J109" i="1" s="1"/>
  <c r="K109" i="1" s="1"/>
  <c r="L109" i="1" s="1"/>
  <c r="M109" i="1" s="1"/>
  <c r="N109" i="1" s="1"/>
  <c r="O109" i="1" s="1"/>
  <c r="P109" i="1" s="1"/>
  <c r="Q109" i="1" s="1"/>
  <c r="F108" i="1"/>
  <c r="G108" i="1" s="1"/>
  <c r="H108" i="1" s="1"/>
  <c r="I108" i="1" s="1"/>
  <c r="J108" i="1" s="1"/>
  <c r="K108" i="1" s="1"/>
  <c r="L108" i="1" s="1"/>
  <c r="M108" i="1" s="1"/>
  <c r="N108" i="1" s="1"/>
  <c r="O108" i="1" s="1"/>
  <c r="P108" i="1" s="1"/>
  <c r="Q108" i="1" s="1"/>
  <c r="F107" i="1"/>
  <c r="G107" i="1" s="1"/>
  <c r="H107" i="1" s="1"/>
  <c r="I107" i="1" s="1"/>
  <c r="J107" i="1" s="1"/>
  <c r="K107" i="1" s="1"/>
  <c r="L107" i="1" s="1"/>
  <c r="M107" i="1" s="1"/>
  <c r="N107" i="1" s="1"/>
  <c r="O107" i="1" s="1"/>
  <c r="P107" i="1" s="1"/>
  <c r="Q107" i="1" s="1"/>
  <c r="F101" i="1"/>
  <c r="G101" i="1" s="1"/>
  <c r="H101" i="1" s="1"/>
  <c r="I101" i="1" s="1"/>
  <c r="J101" i="1" s="1"/>
  <c r="K101" i="1" s="1"/>
  <c r="L101" i="1" s="1"/>
  <c r="M101" i="1" s="1"/>
  <c r="N101" i="1" s="1"/>
  <c r="O101" i="1" s="1"/>
  <c r="P101" i="1" s="1"/>
  <c r="Q101" i="1" s="1"/>
  <c r="F100" i="1"/>
  <c r="G100" i="1" s="1"/>
  <c r="H100" i="1" s="1"/>
  <c r="I100" i="1" s="1"/>
  <c r="J100" i="1" s="1"/>
  <c r="K100" i="1" s="1"/>
  <c r="L100" i="1" s="1"/>
  <c r="M100" i="1" s="1"/>
  <c r="N100" i="1" s="1"/>
  <c r="O100" i="1" s="1"/>
  <c r="P100" i="1" s="1"/>
  <c r="Q100" i="1" s="1"/>
  <c r="F99" i="1"/>
  <c r="F94" i="1"/>
  <c r="G94" i="1" s="1"/>
  <c r="H94" i="1" s="1"/>
  <c r="I94" i="1" s="1"/>
  <c r="J94" i="1" s="1"/>
  <c r="K94" i="1" s="1"/>
  <c r="L94" i="1" s="1"/>
  <c r="M94" i="1" s="1"/>
  <c r="N94" i="1" s="1"/>
  <c r="O94" i="1" s="1"/>
  <c r="P94" i="1" s="1"/>
  <c r="Q94" i="1" s="1"/>
  <c r="F93" i="1"/>
  <c r="G93" i="1" s="1"/>
  <c r="H93" i="1" s="1"/>
  <c r="F102" i="1" l="1"/>
  <c r="G99" i="1"/>
  <c r="H99" i="1" s="1"/>
  <c r="I99" i="1" s="1"/>
  <c r="F95" i="1"/>
  <c r="F96" i="1" s="1"/>
  <c r="I93" i="1"/>
  <c r="H95" i="1"/>
  <c r="H96" i="1" s="1"/>
  <c r="G95" i="1"/>
  <c r="G96" i="1" s="1"/>
  <c r="F104" i="1" l="1"/>
  <c r="H102" i="1"/>
  <c r="H104" i="1" s="1"/>
  <c r="G102" i="1"/>
  <c r="G104" i="1" s="1"/>
  <c r="G182" i="1" s="1"/>
  <c r="J93" i="1"/>
  <c r="I95" i="1"/>
  <c r="I96" i="1" s="1"/>
  <c r="J99" i="1"/>
  <c r="I102" i="1"/>
  <c r="H182" i="1" l="1"/>
  <c r="F105" i="1"/>
  <c r="F182" i="1"/>
  <c r="F111" i="1"/>
  <c r="G105" i="1"/>
  <c r="E27" i="1"/>
  <c r="H105" i="1"/>
  <c r="H111" i="1"/>
  <c r="H184" i="1" s="1"/>
  <c r="H187" i="1" s="1"/>
  <c r="G111" i="1"/>
  <c r="G184" i="1" s="1"/>
  <c r="I104" i="1"/>
  <c r="K93" i="1"/>
  <c r="J95" i="1"/>
  <c r="J96" i="1" s="1"/>
  <c r="J102" i="1"/>
  <c r="K99" i="1"/>
  <c r="I182" i="1" l="1"/>
  <c r="F112" i="1"/>
  <c r="F184" i="1"/>
  <c r="F185" i="1" s="1"/>
  <c r="G187" i="1"/>
  <c r="H185" i="1"/>
  <c r="H112" i="1"/>
  <c r="G112" i="1"/>
  <c r="J104" i="1"/>
  <c r="K102" i="1"/>
  <c r="L99" i="1"/>
  <c r="L93" i="1"/>
  <c r="K95" i="1"/>
  <c r="K96" i="1" s="1"/>
  <c r="I105" i="1"/>
  <c r="I111" i="1"/>
  <c r="I184" i="1" s="1"/>
  <c r="J182" i="1" l="1"/>
  <c r="G185" i="1"/>
  <c r="I185" i="1"/>
  <c r="I187" i="1"/>
  <c r="J105" i="1"/>
  <c r="I112" i="1"/>
  <c r="J111" i="1"/>
  <c r="J184" i="1" s="1"/>
  <c r="K104" i="1"/>
  <c r="L95" i="1"/>
  <c r="L96" i="1" s="1"/>
  <c r="M93" i="1"/>
  <c r="L102" i="1"/>
  <c r="M99" i="1"/>
  <c r="K182" i="1" l="1"/>
  <c r="J185" i="1"/>
  <c r="J187" i="1"/>
  <c r="K105" i="1"/>
  <c r="J112" i="1"/>
  <c r="K111" i="1"/>
  <c r="K184" i="1" s="1"/>
  <c r="L104" i="1"/>
  <c r="M102" i="1"/>
  <c r="N99" i="1"/>
  <c r="M95" i="1"/>
  <c r="M96" i="1" s="1"/>
  <c r="N93" i="1"/>
  <c r="L182" i="1" l="1"/>
  <c r="K185" i="1"/>
  <c r="K187" i="1"/>
  <c r="L105" i="1"/>
  <c r="K112" i="1"/>
  <c r="M104" i="1"/>
  <c r="L111" i="1"/>
  <c r="L184" i="1" s="1"/>
  <c r="N95" i="1"/>
  <c r="N96" i="1" s="1"/>
  <c r="O93" i="1"/>
  <c r="N102" i="1"/>
  <c r="O99" i="1"/>
  <c r="M182" i="1" l="1"/>
  <c r="L185" i="1"/>
  <c r="L187" i="1"/>
  <c r="M111" i="1"/>
  <c r="M184" i="1" s="1"/>
  <c r="L112" i="1"/>
  <c r="M105" i="1"/>
  <c r="N104" i="1"/>
  <c r="P93" i="1"/>
  <c r="O95" i="1"/>
  <c r="O96" i="1" s="1"/>
  <c r="P99" i="1"/>
  <c r="O102" i="1"/>
  <c r="N182" i="1" l="1"/>
  <c r="M185" i="1"/>
  <c r="M187" i="1"/>
  <c r="M112" i="1"/>
  <c r="N105" i="1"/>
  <c r="N111" i="1"/>
  <c r="N184" i="1" s="1"/>
  <c r="O104" i="1"/>
  <c r="Q99" i="1"/>
  <c r="Q102" i="1" s="1"/>
  <c r="P102" i="1"/>
  <c r="P95" i="1"/>
  <c r="P96" i="1" s="1"/>
  <c r="Q93" i="1"/>
  <c r="O182" i="1" l="1"/>
  <c r="N185" i="1"/>
  <c r="N187" i="1"/>
  <c r="O105" i="1"/>
  <c r="N112" i="1"/>
  <c r="P104" i="1"/>
  <c r="O111" i="1"/>
  <c r="O184" i="1" s="1"/>
  <c r="Q95" i="1"/>
  <c r="Q96" i="1" s="1"/>
  <c r="Q104" i="1" s="1"/>
  <c r="P182" i="1" l="1"/>
  <c r="E198" i="1"/>
  <c r="E204" i="1"/>
  <c r="E201" i="1"/>
  <c r="E199" i="1"/>
  <c r="E203" i="1"/>
  <c r="E202" i="1"/>
  <c r="E200" i="1"/>
  <c r="O185" i="1"/>
  <c r="O187" i="1"/>
  <c r="K27" i="1"/>
  <c r="K28" i="1" s="1"/>
  <c r="Q182" i="1"/>
  <c r="P105" i="1"/>
  <c r="O112" i="1"/>
  <c r="P111" i="1"/>
  <c r="P184" i="1" s="1"/>
  <c r="I168" i="1" s="1"/>
  <c r="I171" i="1" s="1"/>
  <c r="Q105" i="1"/>
  <c r="Q111" i="1"/>
  <c r="E240" i="1" l="1"/>
  <c r="E246" i="1"/>
  <c r="E245" i="1"/>
  <c r="E244" i="1"/>
  <c r="E243" i="1"/>
  <c r="E241" i="1"/>
  <c r="E242" i="1"/>
  <c r="D168" i="1"/>
  <c r="D171" i="1" s="1"/>
  <c r="I169" i="1"/>
  <c r="P185" i="1"/>
  <c r="P187" i="1"/>
  <c r="Q112" i="1"/>
  <c r="Q184" i="1"/>
  <c r="Q185" i="1" s="1"/>
  <c r="K29" i="1"/>
  <c r="P112" i="1"/>
  <c r="D236" i="1"/>
  <c r="B2" i="1"/>
  <c r="D169" i="1" l="1"/>
  <c r="D172" i="1"/>
  <c r="D173" i="1" s="1"/>
  <c r="F239" i="1" s="1"/>
  <c r="I172" i="1"/>
  <c r="I173" i="1" s="1"/>
  <c r="D206" i="1"/>
  <c r="D194" i="1"/>
  <c r="I175" i="1" l="1"/>
  <c r="I177" i="1"/>
  <c r="D175" i="1"/>
  <c r="D177" i="1"/>
  <c r="C158" i="1"/>
  <c r="C142" i="1"/>
  <c r="J23" i="1"/>
  <c r="Q180" i="1" l="1"/>
  <c r="D180" i="1"/>
  <c r="Q179" i="1"/>
  <c r="G179" i="1"/>
  <c r="F179" i="1"/>
  <c r="D128" i="1" l="1"/>
  <c r="G127" i="1"/>
  <c r="F127" i="1"/>
  <c r="Q87" i="1"/>
  <c r="Q88" i="1"/>
  <c r="C75" i="1"/>
  <c r="C90" i="1"/>
  <c r="D88" i="1"/>
  <c r="G87" i="1"/>
  <c r="F87" i="1"/>
  <c r="G43" i="1"/>
  <c r="C83" i="1"/>
  <c r="C82" i="1"/>
  <c r="C81" i="1"/>
  <c r="C80" i="1"/>
  <c r="C79" i="1"/>
  <c r="C78" i="1"/>
  <c r="C77" i="1"/>
  <c r="C76" i="1"/>
  <c r="C73" i="1"/>
  <c r="C72" i="1"/>
  <c r="C71" i="1"/>
  <c r="C70" i="1"/>
  <c r="C69" i="1"/>
  <c r="C68" i="1"/>
  <c r="C67" i="1"/>
  <c r="C66" i="1"/>
  <c r="C65" i="1"/>
  <c r="C55" i="1"/>
  <c r="F49" i="1"/>
  <c r="D49" i="1"/>
  <c r="G34" i="1"/>
  <c r="G33" i="1"/>
  <c r="G32" i="1"/>
  <c r="D23" i="1"/>
  <c r="E18" i="1"/>
  <c r="C21" i="1"/>
  <c r="J5" i="1"/>
  <c r="F180" i="1" l="1"/>
  <c r="F88" i="1"/>
  <c r="F85" i="1" s="1"/>
  <c r="G49" i="1"/>
  <c r="F128" i="1"/>
  <c r="G180" i="1" l="1"/>
  <c r="H49" i="1"/>
  <c r="G128" i="1"/>
  <c r="G88" i="1"/>
  <c r="G85" i="1" l="1"/>
  <c r="H128" i="1"/>
  <c r="H180" i="1"/>
  <c r="I49" i="1"/>
  <c r="H88" i="1"/>
  <c r="H85" i="1" s="1"/>
  <c r="H145" i="1" l="1"/>
  <c r="H147" i="1"/>
  <c r="H148" i="1" s="1"/>
  <c r="H131" i="1"/>
  <c r="H132" i="1"/>
  <c r="G147" i="1"/>
  <c r="G148" i="1" s="1"/>
  <c r="G132" i="1"/>
  <c r="G131" i="1"/>
  <c r="G145" i="1"/>
  <c r="H114" i="1"/>
  <c r="H115" i="1"/>
  <c r="G115" i="1"/>
  <c r="G119" i="1" s="1"/>
  <c r="G114" i="1"/>
  <c r="I128" i="1"/>
  <c r="I180" i="1"/>
  <c r="J49" i="1"/>
  <c r="J180" i="1" s="1"/>
  <c r="I88" i="1"/>
  <c r="I85" i="1" s="1"/>
  <c r="H134" i="1" l="1"/>
  <c r="I145" i="1"/>
  <c r="I147" i="1"/>
  <c r="I148" i="1" s="1"/>
  <c r="I131" i="1"/>
  <c r="I132" i="1"/>
  <c r="G134" i="1"/>
  <c r="H119" i="1"/>
  <c r="I114" i="1"/>
  <c r="I115" i="1"/>
  <c r="G121" i="1"/>
  <c r="G124" i="1"/>
  <c r="G117" i="1"/>
  <c r="G146" i="1" s="1"/>
  <c r="G122" i="1"/>
  <c r="G125" i="1"/>
  <c r="H121" i="1"/>
  <c r="H124" i="1"/>
  <c r="H122" i="1"/>
  <c r="H125" i="1"/>
  <c r="H117" i="1"/>
  <c r="H146" i="1" s="1"/>
  <c r="H150" i="1" s="1"/>
  <c r="K49" i="1"/>
  <c r="J128" i="1"/>
  <c r="J88" i="1"/>
  <c r="J85" i="1" s="1"/>
  <c r="I119" i="1" l="1"/>
  <c r="J145" i="1"/>
  <c r="J147" i="1"/>
  <c r="J148" i="1" s="1"/>
  <c r="J131" i="1"/>
  <c r="J132" i="1"/>
  <c r="I134" i="1"/>
  <c r="G150" i="1"/>
  <c r="J114" i="1"/>
  <c r="J115" i="1"/>
  <c r="J119" i="1" s="1"/>
  <c r="I121" i="1"/>
  <c r="I124" i="1"/>
  <c r="I122" i="1"/>
  <c r="I125" i="1"/>
  <c r="I117" i="1"/>
  <c r="I146" i="1" s="1"/>
  <c r="I150" i="1" s="1"/>
  <c r="K128" i="1"/>
  <c r="K180" i="1"/>
  <c r="L49" i="1"/>
  <c r="K88" i="1"/>
  <c r="K85" i="1" s="1"/>
  <c r="J134" i="1" l="1"/>
  <c r="K147" i="1"/>
  <c r="K148" i="1" s="1"/>
  <c r="K145" i="1"/>
  <c r="K132" i="1"/>
  <c r="K131" i="1"/>
  <c r="K115" i="1"/>
  <c r="K119" i="1" s="1"/>
  <c r="K114" i="1"/>
  <c r="J121" i="1"/>
  <c r="J124" i="1"/>
  <c r="J122" i="1"/>
  <c r="J125" i="1"/>
  <c r="J117" i="1"/>
  <c r="J146" i="1" s="1"/>
  <c r="J150" i="1" s="1"/>
  <c r="L128" i="1"/>
  <c r="L180" i="1"/>
  <c r="M49" i="1"/>
  <c r="L88" i="1"/>
  <c r="K134" i="1" l="1"/>
  <c r="K121" i="1"/>
  <c r="K124" i="1"/>
  <c r="K125" i="1"/>
  <c r="K122" i="1"/>
  <c r="K117" i="1"/>
  <c r="K146" i="1" s="1"/>
  <c r="L85" i="1"/>
  <c r="M128" i="1"/>
  <c r="M180" i="1"/>
  <c r="N49" i="1"/>
  <c r="M88" i="1"/>
  <c r="M85" i="1" s="1"/>
  <c r="L147" i="1" l="1"/>
  <c r="L148" i="1" s="1"/>
  <c r="L132" i="1"/>
  <c r="L131" i="1"/>
  <c r="L145" i="1"/>
  <c r="M131" i="1"/>
  <c r="M147" i="1"/>
  <c r="M148" i="1" s="1"/>
  <c r="M145" i="1"/>
  <c r="M132" i="1"/>
  <c r="K150" i="1"/>
  <c r="M114" i="1"/>
  <c r="M115" i="1"/>
  <c r="L114" i="1"/>
  <c r="L115" i="1"/>
  <c r="L119" i="1" s="1"/>
  <c r="N128" i="1"/>
  <c r="N180" i="1"/>
  <c r="O49" i="1"/>
  <c r="N88" i="1"/>
  <c r="N85" i="1" s="1"/>
  <c r="M119" i="1" l="1"/>
  <c r="M134" i="1"/>
  <c r="L134" i="1"/>
  <c r="N131" i="1"/>
  <c r="N147" i="1"/>
  <c r="N148" i="1" s="1"/>
  <c r="N145" i="1"/>
  <c r="N132" i="1"/>
  <c r="N115" i="1"/>
  <c r="N114" i="1"/>
  <c r="L121" i="1"/>
  <c r="L124" i="1"/>
  <c r="L125" i="1"/>
  <c r="L122" i="1"/>
  <c r="L117" i="1"/>
  <c r="L146" i="1" s="1"/>
  <c r="L150" i="1" s="1"/>
  <c r="M124" i="1"/>
  <c r="M121" i="1"/>
  <c r="M117" i="1"/>
  <c r="M146" i="1" s="1"/>
  <c r="M150" i="1" s="1"/>
  <c r="M125" i="1"/>
  <c r="M122" i="1"/>
  <c r="O128" i="1"/>
  <c r="O180" i="1"/>
  <c r="P49" i="1"/>
  <c r="O88" i="1"/>
  <c r="O85" i="1" s="1"/>
  <c r="N134" i="1" l="1"/>
  <c r="N119" i="1"/>
  <c r="O131" i="1"/>
  <c r="O147" i="1"/>
  <c r="O148" i="1" s="1"/>
  <c r="O145" i="1"/>
  <c r="O132" i="1"/>
  <c r="N121" i="1"/>
  <c r="N124" i="1"/>
  <c r="N125" i="1"/>
  <c r="N122" i="1"/>
  <c r="N117" i="1"/>
  <c r="N146" i="1" s="1"/>
  <c r="N150" i="1" s="1"/>
  <c r="O114" i="1"/>
  <c r="O115" i="1"/>
  <c r="P180" i="1"/>
  <c r="P88" i="1"/>
  <c r="P128" i="1"/>
  <c r="O119" i="1" l="1"/>
  <c r="F210" i="1" a="1"/>
  <c r="F225" i="1" a="1"/>
  <c r="O134" i="1"/>
  <c r="O124" i="1"/>
  <c r="O121" i="1"/>
  <c r="O122" i="1"/>
  <c r="O125" i="1"/>
  <c r="O117" i="1"/>
  <c r="O146" i="1" s="1"/>
  <c r="O150" i="1" s="1"/>
  <c r="P85" i="1"/>
  <c r="Q85" i="1"/>
  <c r="F227" i="1" l="1"/>
  <c r="F226" i="1"/>
  <c r="F233" i="1"/>
  <c r="F225" i="1"/>
  <c r="F229" i="1"/>
  <c r="F232" i="1"/>
  <c r="F230" i="1"/>
  <c r="F231" i="1"/>
  <c r="F228" i="1"/>
  <c r="F234" i="1"/>
  <c r="F212" i="1"/>
  <c r="F217" i="1"/>
  <c r="F216" i="1"/>
  <c r="F215" i="1"/>
  <c r="F210" i="1"/>
  <c r="F211" i="1"/>
  <c r="F219" i="1"/>
  <c r="F214" i="1"/>
  <c r="F213" i="1"/>
  <c r="F218" i="1"/>
  <c r="P148" i="1"/>
  <c r="P131" i="1"/>
  <c r="P145" i="1"/>
  <c r="P132" i="1"/>
  <c r="P115" i="1"/>
  <c r="P119" i="1" s="1"/>
  <c r="P147" i="1" s="1"/>
  <c r="P114" i="1"/>
  <c r="E226" i="1" l="1"/>
  <c r="E211" i="1"/>
  <c r="E229" i="1"/>
  <c r="E214" i="1"/>
  <c r="E230" i="1"/>
  <c r="E215" i="1"/>
  <c r="E225" i="1"/>
  <c r="E210" i="1"/>
  <c r="E216" i="1"/>
  <c r="E231" i="1"/>
  <c r="E233" i="1"/>
  <c r="E218" i="1"/>
  <c r="E217" i="1"/>
  <c r="E232" i="1"/>
  <c r="E228" i="1"/>
  <c r="E213" i="1"/>
  <c r="E227" i="1"/>
  <c r="E212" i="1"/>
  <c r="E219" i="1"/>
  <c r="E234" i="1"/>
  <c r="F138" i="1"/>
  <c r="F140" i="1" s="1"/>
  <c r="P134" i="1"/>
  <c r="P121" i="1"/>
  <c r="P124" i="1"/>
  <c r="P125" i="1"/>
  <c r="P122" i="1"/>
  <c r="P117" i="1"/>
  <c r="P146" i="1" s="1"/>
  <c r="F136" i="1" l="1"/>
  <c r="F142" i="1"/>
  <c r="P150" i="1"/>
  <c r="F158" i="1" s="1"/>
  <c r="F154" i="1"/>
  <c r="F156" i="1" s="1"/>
  <c r="F152" i="1" l="1"/>
  <c r="F209" i="1" s="1"/>
  <c r="F224" i="1" l="1"/>
  <c r="F197" i="1"/>
</calcChain>
</file>

<file path=xl/comments1.xml><?xml version="1.0" encoding="utf-8"?>
<comments xmlns="http://schemas.openxmlformats.org/spreadsheetml/2006/main">
  <authors>
    <author>BIWS</author>
  </authors>
  <commentList>
    <comment ref="K14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Property taxes increase at roughly the rate of inflation, regardless of the real estate market.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Often set to be in-line with the PV of interest payments the lender expects to receive over the remaining life of the loan.</t>
        </r>
      </text>
    </comment>
    <comment ref="D162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the assumptions.</t>
        </r>
      </text>
    </comment>
    <comment ref="D163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the assumptions.</t>
        </r>
      </text>
    </comment>
  </commentList>
</comments>
</file>

<file path=xl/sharedStrings.xml><?xml version="1.0" encoding="utf-8"?>
<sst xmlns="http://schemas.openxmlformats.org/spreadsheetml/2006/main" count="340" uniqueCount="215">
  <si>
    <t>Operating Assumptions:</t>
  </si>
  <si>
    <t>Units:</t>
  </si>
  <si>
    <t>Building / Construction Name:</t>
  </si>
  <si>
    <t>The Lyric</t>
  </si>
  <si>
    <t>Selected Operating Scenario:</t>
  </si>
  <si>
    <t>Location:</t>
  </si>
  <si>
    <t>Seattle</t>
  </si>
  <si>
    <t>Construction Date:</t>
  </si>
  <si>
    <t>Date</t>
  </si>
  <si>
    <t>Average Rent per Square Foot:</t>
  </si>
  <si>
    <t>Other Income:</t>
  </si>
  <si>
    <t>#</t>
  </si>
  <si>
    <t>Months in Year:</t>
  </si>
  <si>
    <t>%</t>
  </si>
  <si>
    <t>Operating Expenses per Unit per Year:</t>
  </si>
  <si>
    <t>Real Estate Taxes per RSF per Month:</t>
  </si>
  <si>
    <t>Real Estate Taxes Annual Growth Rate:</t>
  </si>
  <si>
    <t>Replacement Reserve per Unit per Year:</t>
  </si>
  <si>
    <t>Rentable Square Footage (RSF):</t>
  </si>
  <si>
    <t>sq. ft.</t>
  </si>
  <si>
    <t>Average Square Feet Per Unit:</t>
  </si>
  <si>
    <t>CapEx per Unit per Year:</t>
  </si>
  <si>
    <t>Acquisition and Exit Assumptions:</t>
  </si>
  <si>
    <t>Acquisition Date:</t>
  </si>
  <si>
    <t>Acquisition Price:</t>
  </si>
  <si>
    <t>$</t>
  </si>
  <si>
    <t>Acquisition Costs (% Gross Acquisition Price):</t>
  </si>
  <si>
    <t>Acquisition Loan-to-Value (LTV) Ratio:</t>
  </si>
  <si>
    <t>Exit Cap Rates:</t>
  </si>
  <si>
    <t>Loan Interest Rate:</t>
  </si>
  <si>
    <t># Years</t>
  </si>
  <si>
    <t>Exit Date:</t>
  </si>
  <si>
    <t>Exit Price:</t>
  </si>
  <si>
    <t>Selling Costs (% Gross Sale Price):</t>
  </si>
  <si>
    <t>Historical:</t>
  </si>
  <si>
    <t>Projected:</t>
  </si>
  <si>
    <t>Operating Scenarios:</t>
  </si>
  <si>
    <t>Scenario #1 - Steady Growth</t>
  </si>
  <si>
    <t>Scenario #2 - Decline and Recovery</t>
  </si>
  <si>
    <t>Scenario #3 - Longer-Term Decline and Recovery</t>
  </si>
  <si>
    <t>Stable:</t>
  </si>
  <si>
    <t>Rental Income Growth Rate:</t>
  </si>
  <si>
    <t>Other Income Growth Rate:</t>
  </si>
  <si>
    <t>Vacancy / Collection Loss:</t>
  </si>
  <si>
    <t>Operating Expense Growth Rate:</t>
  </si>
  <si>
    <t>Replacement Reserve Growth Rate:</t>
  </si>
  <si>
    <t>CapEx Growth Rate:</t>
  </si>
  <si>
    <t>Tenant Improvements (TIs) Growth Rate:</t>
  </si>
  <si>
    <t>Leasing Commissions (LCs) Growth Rate:</t>
  </si>
  <si>
    <t>Decline:</t>
  </si>
  <si>
    <t>Recovery:</t>
  </si>
  <si>
    <t>Sources of Funds:</t>
  </si>
  <si>
    <t>Uses of 
Funds:</t>
  </si>
  <si>
    <t>Investor Equity:</t>
  </si>
  <si>
    <t>Senior Debt:</t>
  </si>
  <si>
    <t>Total Sources:</t>
  </si>
  <si>
    <t xml:space="preserve">Fiscal Year: </t>
  </si>
  <si>
    <t>Property Pro-Forma:</t>
  </si>
  <si>
    <t>Revenue:</t>
  </si>
  <si>
    <t>Less: Vacancy Allowance / Collection Losses:</t>
  </si>
  <si>
    <t>Effective Gross Income (EGI):</t>
  </si>
  <si>
    <t>Expenses:</t>
  </si>
  <si>
    <t>Less: Operating Expenses:</t>
  </si>
  <si>
    <t>Less: Real Estate &amp; Property Taxes:</t>
  </si>
  <si>
    <t>Less: Replacement Reserve:</t>
  </si>
  <si>
    <t>Total Expenses:</t>
  </si>
  <si>
    <t>Net Operating Income (NOI):</t>
  </si>
  <si>
    <t>NOI Margin:</t>
  </si>
  <si>
    <t>Less: Capital Expenditures:</t>
  </si>
  <si>
    <t>Less: Tenant Improvements:</t>
  </si>
  <si>
    <t>Less: Leasing Commissions:</t>
  </si>
  <si>
    <t>Adjusted Net Operating Income:</t>
  </si>
  <si>
    <t>Less: Interest Expense on Debt:</t>
  </si>
  <si>
    <t>Less: Debt Principal Repayment:</t>
  </si>
  <si>
    <t>Cash Flow to Equity Investors:</t>
  </si>
  <si>
    <t>Net Proceeds from Sale of Property:</t>
  </si>
  <si>
    <t>Initial Equity Investment:</t>
  </si>
  <si>
    <t>x</t>
  </si>
  <si>
    <t>Name</t>
  </si>
  <si>
    <t>Total Uses:</t>
  </si>
  <si>
    <t>Stabilized</t>
  </si>
  <si>
    <t>Year:</t>
  </si>
  <si>
    <t>IRR Calculations:</t>
  </si>
  <si>
    <t>Invested Equity:</t>
  </si>
  <si>
    <t>Cash-on-Cash Multiple:</t>
  </si>
  <si>
    <t>High-Growth:</t>
  </si>
  <si>
    <t>Acquisition Sources and Uses of Funds:</t>
  </si>
  <si>
    <t>Acquisition Price per Unit:</t>
  </si>
  <si>
    <t>Acquisition Price per SF:</t>
  </si>
  <si>
    <t>$ / sq. ft.</t>
  </si>
  <si>
    <t>$ / Unit</t>
  </si>
  <si>
    <t>Implied Going-In Cap Rate:</t>
  </si>
  <si>
    <t>Exit Cap Rate:</t>
  </si>
  <si>
    <t>Exit Price per Unit:</t>
  </si>
  <si>
    <t>Exit Price per SF:</t>
  </si>
  <si>
    <t>Adjusted NOI Margin:</t>
  </si>
  <si>
    <t>Base Rental Income:</t>
  </si>
  <si>
    <t>Mid-Year Discount Period:</t>
  </si>
  <si>
    <t>Present Value of Cash Flows:</t>
  </si>
  <si>
    <t>Discounted Cash Flow (DCF) Analysis - Assumptions and Output:</t>
  </si>
  <si>
    <t>Cash Flow Growth Rate:</t>
  </si>
  <si>
    <t>Terminal Value - Multiples Method:</t>
  </si>
  <si>
    <t>Terminal Value - Perpetuity Growth Method:</t>
  </si>
  <si>
    <t>Baseline Terminal Value:</t>
  </si>
  <si>
    <t>Baseline Terminal Cap Rate:</t>
  </si>
  <si>
    <t>Implied Terminal Cash Flow Growth Rate:</t>
  </si>
  <si>
    <t>PV of Terminal Value:</t>
  </si>
  <si>
    <t>Implied Total Property Value:</t>
  </si>
  <si>
    <t>Normal Discount Period:</t>
  </si>
  <si>
    <t>Premium / (Discount) to Asking Price:</t>
  </si>
  <si>
    <t>Baseline Terminal Cash Flow Growth Rate:</t>
  </si>
  <si>
    <t>Implied Terminal Cap Rate:</t>
  </si>
  <si>
    <t>Year</t>
  </si>
  <si>
    <t>Year Frac.</t>
  </si>
  <si>
    <t>$ / Unit / mth</t>
  </si>
  <si>
    <t>$ / Unit / Yr</t>
  </si>
  <si>
    <t>Debt Principal Repayment Upon Exit:</t>
  </si>
  <si>
    <t>Loan Amortization Period:</t>
  </si>
  <si>
    <t>Loan Issuance Fees (% Senior Debt):</t>
  </si>
  <si>
    <t>Acquisition Costs:</t>
  </si>
  <si>
    <t>Loan Issuance Fees:</t>
  </si>
  <si>
    <t>Prepayment Penalty (% Remaining Principal):</t>
  </si>
  <si>
    <t>Ending Debt Balance:</t>
  </si>
  <si>
    <t>Cash Flows to Equity Investors:</t>
  </si>
  <si>
    <t>Debt Service Coverage Ratio (DSCR) - NOI:</t>
  </si>
  <si>
    <t>Interest Coverage Ratio - NOI:</t>
  </si>
  <si>
    <t>Interest Coverage Ratio - Adjusted NOI:</t>
  </si>
  <si>
    <t>Debt Service Coverage Ratio (DSCR) - Adjusted NOI:</t>
  </si>
  <si>
    <t>Adjusted NOI (Cash Flows Avail. to All Investors):</t>
  </si>
  <si>
    <t>Initial Property Acquisition Price:</t>
  </si>
  <si>
    <t>Early Prepayment Penalty:</t>
  </si>
  <si>
    <t>Cost of Equity:</t>
  </si>
  <si>
    <t>Discount Rate (WACC):</t>
  </si>
  <si>
    <t>Project Cash Flows (Unleveraged IRR):</t>
  </si>
  <si>
    <t>Unleveraged Internal Rate of Return (IRR):</t>
  </si>
  <si>
    <t>Leveraged Internal Rate of Return (IRR):</t>
  </si>
  <si>
    <t>Total Project Cash Flows (Unleveraged IRR):</t>
  </si>
  <si>
    <t>Cash Flow to Equity Investors (Leveraged IRR):</t>
  </si>
  <si>
    <t>Total Cash Flows to Equity (Leveraged IRR):</t>
  </si>
  <si>
    <t>LTV Ratio:</t>
  </si>
  <si>
    <t>Property Value:</t>
  </si>
  <si>
    <t>Exit Cap Rate and Property Value Upon Exit:</t>
  </si>
  <si>
    <t>Exit Year and Property Value Upon Exit:</t>
  </si>
  <si>
    <t>Sensitivity Analyses - Assumption Ranges and Output:</t>
  </si>
  <si>
    <t>DCF - Unleveraged Cash Flow Projections:</t>
  </si>
  <si>
    <t>% of Implied Property Value from PV of Terminal Value:</t>
  </si>
  <si>
    <t>Loan Maturity:</t>
  </si>
  <si>
    <t>Total Returns:</t>
  </si>
  <si>
    <t>Total Returns to Equity:</t>
  </si>
  <si>
    <t>Sum of PV of Cash Flows:</t>
  </si>
  <si>
    <t>($ USD in $ as Stated, Unless Otherwise Noted)</t>
  </si>
  <si>
    <t>Total Initial Investment:</t>
  </si>
  <si>
    <t>Unleveraged Cash Flow (Adjusted NOI):</t>
  </si>
  <si>
    <t>Discount Rate:</t>
  </si>
  <si>
    <t>Terminal Cap Rate and Terminal Property Value:</t>
  </si>
  <si>
    <t>Number of Units:</t>
  </si>
  <si>
    <t>Parking Spots:</t>
  </si>
  <si>
    <t>Number of Floors:</t>
  </si>
  <si>
    <t>Tenant Improvements (TIs) per Unit per Year:</t>
  </si>
  <si>
    <t>Leasing Commissions (LCs) per Unit per Year:</t>
  </si>
  <si>
    <t>Other Income per Unit per Month:</t>
  </si>
  <si>
    <t>$ / sq. ft. / mth</t>
  </si>
  <si>
    <t>Comparable Property Sales for The Lyric (215 10th Ave E)</t>
  </si>
  <si>
    <t xml:space="preserve"># Square </t>
  </si>
  <si>
    <t>Avg. Unit</t>
  </si>
  <si>
    <t>Sale</t>
  </si>
  <si>
    <t xml:space="preserve">Price per </t>
  </si>
  <si>
    <t>Price per</t>
  </si>
  <si>
    <t xml:space="preserve">Cap </t>
  </si>
  <si>
    <t>Property Name:</t>
  </si>
  <si>
    <t>Address:</t>
  </si>
  <si>
    <t>Neighborhood:</t>
  </si>
  <si>
    <t># Units:</t>
  </si>
  <si>
    <t>Feet:</t>
  </si>
  <si>
    <t>Size in SF:</t>
  </si>
  <si>
    <t>Built:</t>
  </si>
  <si>
    <t>Date:</t>
  </si>
  <si>
    <t>Sale Price:</t>
  </si>
  <si>
    <t>Unit:</t>
  </si>
  <si>
    <t>SF:</t>
  </si>
  <si>
    <t>Rate:</t>
  </si>
  <si>
    <t>Stable Growth:</t>
  </si>
  <si>
    <t>Decline / Recovery:</t>
  </si>
  <si>
    <t>LT Decline / Recovery:</t>
  </si>
  <si>
    <t>$ / Unit:</t>
  </si>
  <si>
    <t>$ / SF:</t>
  </si>
  <si>
    <t>Alcyone</t>
  </si>
  <si>
    <t>301 Minor Avenue N</t>
  </si>
  <si>
    <t>South Lake Union</t>
  </si>
  <si>
    <t>The Martin Seattle</t>
  </si>
  <si>
    <t>2105 5th Avenue</t>
  </si>
  <si>
    <t>Belltown</t>
  </si>
  <si>
    <t>Panorama</t>
  </si>
  <si>
    <t>1100 University Street</t>
  </si>
  <si>
    <t>First Hill/Yesler Terrace</t>
  </si>
  <si>
    <t>Gatsby</t>
  </si>
  <si>
    <t>1145 10th Avenue E</t>
  </si>
  <si>
    <t>Capitol Hill</t>
  </si>
  <si>
    <t>Collins on Pine</t>
  </si>
  <si>
    <t>1222 E Pine Street</t>
  </si>
  <si>
    <t>Three20</t>
  </si>
  <si>
    <t>320 E Pine Street</t>
  </si>
  <si>
    <t>Joseph Arnold Lofts</t>
  </si>
  <si>
    <t>62 Cedar Street</t>
  </si>
  <si>
    <t>Balfour Place</t>
  </si>
  <si>
    <t>1820 Minor Avenue</t>
  </si>
  <si>
    <t>Denny Triangle</t>
  </si>
  <si>
    <t>Bell 206</t>
  </si>
  <si>
    <t>206 Bell Street</t>
  </si>
  <si>
    <t>Downtown</t>
  </si>
  <si>
    <t>Moda Apartments</t>
  </si>
  <si>
    <t>2312 3rd Avenue</t>
  </si>
  <si>
    <t>Aspira</t>
  </si>
  <si>
    <t>1823 Terry Avenue</t>
  </si>
  <si>
    <t>Median: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</si>
</sst>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\(#,##0\);\-_);@_)"/>
    <numFmt numFmtId="165" formatCode="yyyy\-mm\-dd"/>
    <numFmt numFmtId="166" formatCode="0.00%_);\(0.00%\);\-_);@_)"/>
    <numFmt numFmtId="167" formatCode="0.0%_);\(0.0%\);\-_);@_)"/>
    <numFmt numFmtId="168" formatCode="#,##0\ &quot;sq. ft.&quot;"/>
    <numFmt numFmtId="169" formatCode="&quot;FY&quot;yy"/>
    <numFmt numFmtId="170" formatCode="_(0.0%_);\(0.0%\);_(&quot;–&quot;_);_(@_)"/>
    <numFmt numFmtId="171" formatCode="0.0%;\(0.0%\)"/>
    <numFmt numFmtId="172" formatCode="0.000"/>
    <numFmt numFmtId="173" formatCode="0.00\ \x_);\(0.00\ \x\);\-_);@_)"/>
    <numFmt numFmtId="174" formatCode="0.0%;[Red]\(0.0%\)"/>
  </numFmts>
  <fonts count="24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FF"/>
      <name val="Calibri"/>
      <family val="2"/>
    </font>
    <font>
      <sz val="11"/>
      <color theme="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0"/>
      <name val="Calibri"/>
      <family val="2"/>
    </font>
    <font>
      <b/>
      <sz val="11"/>
      <color indexed="9"/>
      <name val="Calibri"/>
      <family val="2"/>
      <scheme val="minor"/>
    </font>
    <font>
      <b/>
      <u/>
      <sz val="11"/>
      <color indexed="9"/>
      <name val="Calibri"/>
      <family val="2"/>
      <scheme val="minor"/>
    </font>
    <font>
      <b/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4" tint="-0.49998474074526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2">
    <xf numFmtId="0" fontId="0" fillId="0" borderId="0"/>
    <xf numFmtId="0" fontId="13" fillId="0" borderId="0"/>
  </cellStyleXfs>
  <cellXfs count="194">
    <xf numFmtId="0" fontId="0" fillId="0" borderId="0" xfId="0"/>
    <xf numFmtId="0" fontId="2" fillId="0" borderId="0" xfId="0" applyNumberFormat="1" applyFont="1" applyBorder="1"/>
    <xf numFmtId="0" fontId="0" fillId="0" borderId="0" xfId="0" applyFont="1" applyBorder="1"/>
    <xf numFmtId="0" fontId="3" fillId="0" borderId="0" xfId="0" applyNumberFormat="1" applyFont="1" applyBorder="1" applyAlignment="1">
      <alignment horizontal="left"/>
    </xf>
    <xf numFmtId="0" fontId="0" fillId="0" borderId="0" xfId="0" applyNumberFormat="1" applyFont="1" applyBorder="1"/>
    <xf numFmtId="0" fontId="4" fillId="2" borderId="2" xfId="0" applyNumberFormat="1" applyFont="1" applyFill="1" applyBorder="1" applyAlignment="1">
      <alignment horizontal="left"/>
    </xf>
    <xf numFmtId="0" fontId="5" fillId="2" borderId="2" xfId="0" applyNumberFormat="1" applyFont="1" applyFill="1" applyBorder="1" applyAlignment="1">
      <alignment horizontal="center"/>
    </xf>
    <xf numFmtId="0" fontId="6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 indent="1"/>
    </xf>
    <xf numFmtId="164" fontId="6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Border="1" applyAlignment="1">
      <alignment horizontal="centerContinuous"/>
    </xf>
    <xf numFmtId="0" fontId="8" fillId="0" borderId="0" xfId="0" applyNumberFormat="1" applyFont="1" applyBorder="1"/>
    <xf numFmtId="0" fontId="3" fillId="0" borderId="0" xfId="0" applyNumberFormat="1" applyFont="1" applyBorder="1" applyAlignment="1">
      <alignment horizontal="center"/>
    </xf>
    <xf numFmtId="165" fontId="6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Border="1" applyAlignment="1">
      <alignment horizontal="left" indent="1"/>
    </xf>
    <xf numFmtId="44" fontId="6" fillId="3" borderId="1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Border="1" applyAlignment="1">
      <alignment horizontal="left"/>
    </xf>
    <xf numFmtId="42" fontId="6" fillId="3" borderId="1" xfId="0" applyNumberFormat="1" applyFont="1" applyFill="1" applyBorder="1" applyProtection="1">
      <protection locked="0"/>
    </xf>
    <xf numFmtId="1" fontId="6" fillId="3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/>
    <xf numFmtId="167" fontId="6" fillId="3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>
      <alignment horizontal="center"/>
    </xf>
    <xf numFmtId="168" fontId="6" fillId="3" borderId="1" xfId="0" applyNumberFormat="1" applyFont="1" applyFill="1" applyBorder="1" applyProtection="1">
      <protection locked="0"/>
    </xf>
    <xf numFmtId="168" fontId="8" fillId="0" borderId="0" xfId="0" applyNumberFormat="1" applyFont="1" applyBorder="1"/>
    <xf numFmtId="0" fontId="8" fillId="0" borderId="0" xfId="0" applyNumberFormat="1" applyFont="1" applyBorder="1" applyAlignment="1">
      <alignment horizontal="right"/>
    </xf>
    <xf numFmtId="0" fontId="7" fillId="0" borderId="0" xfId="0" applyNumberFormat="1" applyFont="1" applyBorder="1"/>
    <xf numFmtId="0" fontId="3" fillId="0" borderId="0" xfId="0" quotePrefix="1" applyNumberFormat="1" applyFont="1" applyBorder="1" applyAlignment="1">
      <alignment horizontal="center"/>
    </xf>
    <xf numFmtId="42" fontId="8" fillId="0" borderId="0" xfId="0" applyNumberFormat="1" applyFont="1" applyFill="1" applyBorder="1" applyProtection="1">
      <protection locked="0"/>
    </xf>
    <xf numFmtId="0" fontId="3" fillId="0" borderId="0" xfId="0" applyFont="1" applyBorder="1" applyAlignment="1">
      <alignment horizontal="left"/>
    </xf>
    <xf numFmtId="0" fontId="0" fillId="0" borderId="0" xfId="0" applyNumberFormat="1" applyFont="1" applyFill="1" applyBorder="1"/>
    <xf numFmtId="0" fontId="3" fillId="0" borderId="0" xfId="0" quotePrefix="1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4" fillId="2" borderId="3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>
      <alignment horizontal="centerContinuous"/>
    </xf>
    <xf numFmtId="0" fontId="4" fillId="2" borderId="5" xfId="0" applyNumberFormat="1" applyFont="1" applyFill="1" applyBorder="1" applyAlignment="1">
      <alignment horizontal="centerContinuous"/>
    </xf>
    <xf numFmtId="169" fontId="4" fillId="2" borderId="2" xfId="0" applyNumberFormat="1" applyFont="1" applyFill="1" applyBorder="1" applyAlignment="1">
      <alignment horizontal="center"/>
    </xf>
    <xf numFmtId="169" fontId="4" fillId="2" borderId="6" xfId="0" applyNumberFormat="1" applyFont="1" applyFill="1" applyBorder="1" applyAlignment="1">
      <alignment horizontal="center"/>
    </xf>
    <xf numFmtId="0" fontId="7" fillId="4" borderId="0" xfId="0" applyNumberFormat="1" applyFont="1" applyFill="1" applyBorder="1" applyAlignment="1">
      <alignment horizontal="centerContinuous"/>
    </xf>
    <xf numFmtId="0" fontId="0" fillId="4" borderId="0" xfId="0" applyNumberFormat="1" applyFont="1" applyFill="1" applyBorder="1" applyAlignment="1">
      <alignment horizontal="centerContinuous"/>
    </xf>
    <xf numFmtId="0" fontId="0" fillId="0" borderId="0" xfId="0" applyNumberFormat="1" applyFont="1" applyFill="1" applyBorder="1" applyAlignment="1">
      <alignment horizontal="left" indent="1"/>
    </xf>
    <xf numFmtId="0" fontId="7" fillId="5" borderId="0" xfId="0" applyNumberFormat="1" applyFont="1" applyFill="1" applyBorder="1" applyAlignment="1">
      <alignment horizontal="centerContinuous"/>
    </xf>
    <xf numFmtId="0" fontId="0" fillId="5" borderId="0" xfId="0" applyNumberFormat="1" applyFont="1" applyFill="1" applyBorder="1" applyAlignment="1">
      <alignment horizontal="centerContinuous"/>
    </xf>
    <xf numFmtId="0" fontId="7" fillId="6" borderId="0" xfId="0" applyNumberFormat="1" applyFont="1" applyFill="1" applyBorder="1" applyAlignment="1">
      <alignment horizontal="centerContinuous"/>
    </xf>
    <xf numFmtId="0" fontId="0" fillId="6" borderId="0" xfId="0" applyNumberFormat="1" applyFont="1" applyFill="1" applyBorder="1" applyAlignment="1">
      <alignment horizontal="centerContinuous"/>
    </xf>
    <xf numFmtId="0" fontId="5" fillId="2" borderId="2" xfId="0" applyNumberFormat="1" applyFont="1" applyFill="1" applyBorder="1" applyAlignment="1">
      <alignment horizontal="left"/>
    </xf>
    <xf numFmtId="0" fontId="7" fillId="7" borderId="2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 horizontal="left" indent="1"/>
    </xf>
    <xf numFmtId="167" fontId="3" fillId="0" borderId="0" xfId="0" applyNumberFormat="1" applyFont="1" applyBorder="1"/>
    <xf numFmtId="164" fontId="0" fillId="0" borderId="0" xfId="0" applyNumberFormat="1" applyFont="1" applyBorder="1"/>
    <xf numFmtId="164" fontId="7" fillId="0" borderId="7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 indent="1"/>
    </xf>
    <xf numFmtId="0" fontId="7" fillId="0" borderId="0" xfId="0" applyFont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169" fontId="4" fillId="2" borderId="8" xfId="0" applyNumberFormat="1" applyFont="1" applyFill="1" applyBorder="1" applyAlignment="1">
      <alignment horizontal="center"/>
    </xf>
    <xf numFmtId="164" fontId="0" fillId="0" borderId="7" xfId="0" applyNumberFormat="1" applyFont="1" applyBorder="1"/>
    <xf numFmtId="42" fontId="0" fillId="0" borderId="0" xfId="0" applyNumberFormat="1" applyFont="1" applyBorder="1"/>
    <xf numFmtId="41" fontId="0" fillId="0" borderId="0" xfId="0" applyNumberFormat="1" applyFont="1" applyBorder="1"/>
    <xf numFmtId="0" fontId="3" fillId="0" borderId="2" xfId="0" applyNumberFormat="1" applyFont="1" applyBorder="1" applyAlignment="1">
      <alignment horizontal="center"/>
    </xf>
    <xf numFmtId="0" fontId="7" fillId="0" borderId="7" xfId="0" applyNumberFormat="1" applyFont="1" applyBorder="1"/>
    <xf numFmtId="164" fontId="7" fillId="0" borderId="0" xfId="0" applyNumberFormat="1" applyFont="1" applyBorder="1"/>
    <xf numFmtId="0" fontId="3" fillId="0" borderId="0" xfId="0" applyNumberFormat="1" applyFont="1" applyBorder="1" applyAlignment="1">
      <alignment horizontal="left" indent="1"/>
    </xf>
    <xf numFmtId="0" fontId="7" fillId="0" borderId="0" xfId="0" applyNumberFormat="1" applyFont="1" applyFill="1" applyBorder="1" applyAlignment="1">
      <alignment horizontal="left"/>
    </xf>
    <xf numFmtId="42" fontId="7" fillId="0" borderId="7" xfId="0" applyNumberFormat="1" applyFont="1" applyBorder="1"/>
    <xf numFmtId="164" fontId="1" fillId="0" borderId="0" xfId="0" applyNumberFormat="1" applyFont="1" applyBorder="1"/>
    <xf numFmtId="0" fontId="1" fillId="0" borderId="0" xfId="0" applyNumberFormat="1" applyFont="1" applyBorder="1"/>
    <xf numFmtId="0" fontId="4" fillId="2" borderId="0" xfId="0" applyNumberFormat="1" applyFont="1" applyFill="1" applyBorder="1" applyAlignment="1">
      <alignment horizontal="centerContinuous"/>
    </xf>
    <xf numFmtId="169" fontId="4" fillId="2" borderId="0" xfId="0" applyNumberFormat="1" applyFont="1" applyFill="1" applyBorder="1" applyAlignment="1">
      <alignment horizontal="center"/>
    </xf>
    <xf numFmtId="41" fontId="6" fillId="0" borderId="0" xfId="0" applyNumberFormat="1" applyFont="1" applyFill="1" applyBorder="1" applyProtection="1">
      <protection locked="0"/>
    </xf>
    <xf numFmtId="41" fontId="6" fillId="0" borderId="2" xfId="0" applyNumberFormat="1" applyFont="1" applyFill="1" applyBorder="1" applyProtection="1">
      <protection locked="0"/>
    </xf>
    <xf numFmtId="42" fontId="1" fillId="0" borderId="7" xfId="0" applyNumberFormat="1" applyFont="1" applyBorder="1"/>
    <xf numFmtId="0" fontId="1" fillId="6" borderId="0" xfId="0" applyNumberFormat="1" applyFont="1" applyFill="1" applyBorder="1" applyAlignment="1">
      <alignment horizontal="centerContinuous"/>
    </xf>
    <xf numFmtId="0" fontId="11" fillId="0" borderId="0" xfId="0" applyNumberFormat="1" applyFont="1" applyBorder="1"/>
    <xf numFmtId="44" fontId="8" fillId="0" borderId="0" xfId="0" applyNumberFormat="1" applyFont="1" applyFill="1" applyBorder="1" applyProtection="1">
      <protection locked="0"/>
    </xf>
    <xf numFmtId="0" fontId="11" fillId="0" borderId="0" xfId="0" applyNumberFormat="1" applyFont="1" applyFill="1" applyBorder="1" applyAlignment="1">
      <alignment horizontal="left" indent="1"/>
    </xf>
    <xf numFmtId="164" fontId="0" fillId="0" borderId="0" xfId="0" applyNumberFormat="1"/>
    <xf numFmtId="0" fontId="12" fillId="0" borderId="2" xfId="0" applyFont="1" applyBorder="1" applyAlignment="1"/>
    <xf numFmtId="0" fontId="12" fillId="0" borderId="0" xfId="0" applyFont="1" applyAlignment="1"/>
    <xf numFmtId="0" fontId="3" fillId="0" borderId="0" xfId="0" applyFont="1"/>
    <xf numFmtId="0" fontId="12" fillId="0" borderId="0" xfId="0" applyFont="1"/>
    <xf numFmtId="0" fontId="8" fillId="0" borderId="0" xfId="1" applyFont="1" applyBorder="1"/>
    <xf numFmtId="0" fontId="12" fillId="0" borderId="0" xfId="0" applyFont="1" applyBorder="1" applyAlignment="1"/>
    <xf numFmtId="0" fontId="8" fillId="0" borderId="0" xfId="1" applyFont="1"/>
    <xf numFmtId="0" fontId="3" fillId="0" borderId="0" xfId="0" applyFont="1" applyBorder="1" applyAlignment="1"/>
    <xf numFmtId="0" fontId="12" fillId="0" borderId="0" xfId="0" applyFont="1" applyBorder="1"/>
    <xf numFmtId="0" fontId="8" fillId="0" borderId="0" xfId="1" applyFont="1" applyBorder="1" applyAlignment="1">
      <alignment horizontal="left" indent="1"/>
    </xf>
    <xf numFmtId="0" fontId="8" fillId="0" borderId="2" xfId="1" applyFont="1" applyBorder="1" applyAlignment="1">
      <alignment horizontal="left" indent="1"/>
    </xf>
    <xf numFmtId="0" fontId="14" fillId="0" borderId="0" xfId="1" applyFont="1" applyBorder="1"/>
    <xf numFmtId="0" fontId="9" fillId="0" borderId="0" xfId="1" applyFont="1" applyBorder="1"/>
    <xf numFmtId="0" fontId="7" fillId="7" borderId="2" xfId="0" applyFont="1" applyFill="1" applyBorder="1" applyAlignment="1">
      <alignment horizontal="centerContinuous"/>
    </xf>
    <xf numFmtId="0" fontId="12" fillId="7" borderId="2" xfId="0" applyFont="1" applyFill="1" applyBorder="1" applyAlignment="1">
      <alignment horizontal="centerContinuous"/>
    </xf>
    <xf numFmtId="170" fontId="6" fillId="3" borderId="9" xfId="0" applyNumberFormat="1" applyFont="1" applyFill="1" applyBorder="1" applyAlignment="1">
      <alignment horizontal="center"/>
    </xf>
    <xf numFmtId="170" fontId="8" fillId="3" borderId="9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42" fontId="0" fillId="0" borderId="0" xfId="0" applyNumberFormat="1"/>
    <xf numFmtId="42" fontId="12" fillId="0" borderId="0" xfId="0" applyNumberFormat="1" applyFont="1"/>
    <xf numFmtId="171" fontId="8" fillId="0" borderId="0" xfId="1" applyNumberFormat="1" applyFont="1" applyBorder="1" applyAlignment="1">
      <alignment horizontal="center"/>
    </xf>
    <xf numFmtId="166" fontId="6" fillId="3" borderId="1" xfId="0" applyNumberFormat="1" applyFont="1" applyFill="1" applyBorder="1" applyAlignment="1" applyProtection="1">
      <alignment horizontal="center"/>
      <protection locked="0"/>
    </xf>
    <xf numFmtId="41" fontId="12" fillId="0" borderId="0" xfId="0" applyNumberFormat="1" applyFont="1" applyBorder="1"/>
    <xf numFmtId="41" fontId="12" fillId="0" borderId="2" xfId="0" applyNumberFormat="1" applyFont="1" applyBorder="1"/>
    <xf numFmtId="42" fontId="7" fillId="0" borderId="0" xfId="0" applyNumberFormat="1" applyFont="1"/>
    <xf numFmtId="171" fontId="9" fillId="0" borderId="0" xfId="1" applyNumberFormat="1" applyFon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17" fillId="3" borderId="9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left" indent="1"/>
    </xf>
    <xf numFmtId="0" fontId="1" fillId="0" borderId="0" xfId="0" applyFont="1"/>
    <xf numFmtId="0" fontId="14" fillId="4" borderId="10" xfId="1" applyFont="1" applyFill="1" applyBorder="1"/>
    <xf numFmtId="171" fontId="14" fillId="4" borderId="12" xfId="1" applyNumberFormat="1" applyFont="1" applyFill="1" applyBorder="1" applyAlignment="1">
      <alignment horizontal="center"/>
    </xf>
    <xf numFmtId="0" fontId="8" fillId="4" borderId="10" xfId="1" applyFont="1" applyFill="1" applyBorder="1"/>
    <xf numFmtId="0" fontId="10" fillId="0" borderId="0" xfId="0" applyFont="1" applyBorder="1" applyAlignment="1">
      <alignment horizontal="center"/>
    </xf>
    <xf numFmtId="164" fontId="1" fillId="0" borderId="0" xfId="0" applyNumberFormat="1" applyFont="1"/>
    <xf numFmtId="173" fontId="3" fillId="0" borderId="0" xfId="0" applyNumberFormat="1" applyFont="1" applyBorder="1"/>
    <xf numFmtId="0" fontId="1" fillId="0" borderId="7" xfId="0" applyNumberFormat="1" applyFont="1" applyBorder="1"/>
    <xf numFmtId="0" fontId="0" fillId="0" borderId="7" xfId="0" applyNumberFormat="1" applyFont="1" applyBorder="1"/>
    <xf numFmtId="166" fontId="8" fillId="3" borderId="1" xfId="0" applyNumberFormat="1" applyFont="1" applyFill="1" applyBorder="1" applyAlignment="1" applyProtection="1">
      <alignment horizontal="center"/>
      <protection locked="0"/>
    </xf>
    <xf numFmtId="0" fontId="10" fillId="4" borderId="11" xfId="0" applyNumberFormat="1" applyFont="1" applyFill="1" applyBorder="1" applyAlignment="1">
      <alignment horizontal="center"/>
    </xf>
    <xf numFmtId="0" fontId="1" fillId="4" borderId="11" xfId="0" applyNumberFormat="1" applyFont="1" applyFill="1" applyBorder="1"/>
    <xf numFmtId="0" fontId="7" fillId="0" borderId="0" xfId="0" applyFont="1"/>
    <xf numFmtId="171" fontId="19" fillId="8" borderId="7" xfId="0" applyNumberFormat="1" applyFont="1" applyFill="1" applyBorder="1"/>
    <xf numFmtId="171" fontId="4" fillId="8" borderId="11" xfId="1" applyNumberFormat="1" applyFont="1" applyFill="1" applyBorder="1" applyAlignment="1">
      <alignment horizontal="center"/>
    </xf>
    <xf numFmtId="171" fontId="4" fillId="8" borderId="12" xfId="1" applyNumberFormat="1" applyFont="1" applyFill="1" applyBorder="1" applyAlignment="1">
      <alignment horizontal="center"/>
    </xf>
    <xf numFmtId="0" fontId="18" fillId="2" borderId="13" xfId="0" applyFont="1" applyFill="1" applyBorder="1"/>
    <xf numFmtId="0" fontId="18" fillId="2" borderId="15" xfId="0" applyFont="1" applyFill="1" applyBorder="1"/>
    <xf numFmtId="0" fontId="18" fillId="2" borderId="7" xfId="0" applyFont="1" applyFill="1" applyBorder="1"/>
    <xf numFmtId="0" fontId="4" fillId="2" borderId="7" xfId="0" applyFont="1" applyFill="1" applyBorder="1" applyAlignment="1">
      <alignment horizontal="centerContinuous"/>
    </xf>
    <xf numFmtId="0" fontId="4" fillId="2" borderId="14" xfId="0" applyFont="1" applyFill="1" applyBorder="1" applyAlignment="1">
      <alignment horizontal="centerContinuous"/>
    </xf>
    <xf numFmtId="10" fontId="4" fillId="8" borderId="17" xfId="1" applyNumberFormat="1" applyFont="1" applyFill="1" applyBorder="1" applyAlignment="1">
      <alignment horizontal="center"/>
    </xf>
    <xf numFmtId="10" fontId="4" fillId="8" borderId="20" xfId="1" applyNumberFormat="1" applyFont="1" applyFill="1" applyBorder="1" applyAlignment="1">
      <alignment horizontal="center"/>
    </xf>
    <xf numFmtId="42" fontId="4" fillId="8" borderId="15" xfId="1" applyNumberFormat="1" applyFont="1" applyFill="1" applyBorder="1"/>
    <xf numFmtId="41" fontId="4" fillId="8" borderId="15" xfId="1" applyNumberFormat="1" applyFont="1" applyFill="1" applyBorder="1"/>
    <xf numFmtId="41" fontId="4" fillId="8" borderId="19" xfId="1" applyNumberFormat="1" applyFont="1" applyFill="1" applyBorder="1"/>
    <xf numFmtId="174" fontId="0" fillId="0" borderId="15" xfId="0" applyNumberFormat="1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174" fontId="0" fillId="9" borderId="0" xfId="0" applyNumberFormat="1" applyFont="1" applyFill="1" applyBorder="1" applyAlignment="1">
      <alignment horizontal="center"/>
    </xf>
    <xf numFmtId="174" fontId="0" fillId="0" borderId="15" xfId="0" applyNumberFormat="1" applyFont="1" applyFill="1" applyBorder="1" applyAlignment="1">
      <alignment horizontal="center"/>
    </xf>
    <xf numFmtId="174" fontId="0" fillId="0" borderId="0" xfId="0" applyNumberFormat="1" applyFont="1" applyFill="1" applyBorder="1" applyAlignment="1">
      <alignment horizontal="center"/>
    </xf>
    <xf numFmtId="171" fontId="4" fillId="8" borderId="13" xfId="0" applyNumberFormat="1" applyFont="1" applyFill="1" applyBorder="1" applyAlignment="1">
      <alignment horizontal="center"/>
    </xf>
    <xf numFmtId="169" fontId="4" fillId="8" borderId="17" xfId="0" applyNumberFormat="1" applyFont="1" applyFill="1" applyBorder="1" applyAlignment="1">
      <alignment horizontal="center"/>
    </xf>
    <xf numFmtId="169" fontId="4" fillId="8" borderId="20" xfId="0" applyNumberFormat="1" applyFont="1" applyFill="1" applyBorder="1" applyAlignment="1">
      <alignment horizontal="center"/>
    </xf>
    <xf numFmtId="166" fontId="4" fillId="8" borderId="11" xfId="1" applyNumberFormat="1" applyFont="1" applyFill="1" applyBorder="1" applyAlignment="1">
      <alignment horizontal="center"/>
    </xf>
    <xf numFmtId="166" fontId="4" fillId="8" borderId="12" xfId="1" applyNumberFormat="1" applyFont="1" applyFill="1" applyBorder="1" applyAlignment="1">
      <alignment horizontal="center"/>
    </xf>
    <xf numFmtId="166" fontId="0" fillId="0" borderId="0" xfId="0" quotePrefix="1" applyNumberFormat="1" applyFont="1" applyBorder="1" applyAlignment="1">
      <alignment horizontal="center"/>
    </xf>
    <xf numFmtId="0" fontId="1" fillId="4" borderId="10" xfId="0" applyNumberFormat="1" applyFont="1" applyFill="1" applyBorder="1" applyAlignment="1">
      <alignment horizontal="left"/>
    </xf>
    <xf numFmtId="0" fontId="7" fillId="10" borderId="21" xfId="0" applyFont="1" applyFill="1" applyBorder="1" applyAlignment="1"/>
    <xf numFmtId="0" fontId="7" fillId="10" borderId="21" xfId="0" applyNumberFormat="1" applyFont="1" applyFill="1" applyBorder="1" applyAlignment="1">
      <alignment horizontal="center"/>
    </xf>
    <xf numFmtId="166" fontId="6" fillId="3" borderId="22" xfId="0" applyNumberFormat="1" applyFont="1" applyFill="1" applyBorder="1" applyAlignment="1" applyProtection="1">
      <alignment horizontal="center"/>
      <protection locked="0"/>
    </xf>
    <xf numFmtId="0" fontId="0" fillId="7" borderId="2" xfId="0" applyNumberFormat="1" applyFont="1" applyFill="1" applyBorder="1" applyAlignment="1">
      <alignment horizontal="centerContinuous"/>
    </xf>
    <xf numFmtId="173" fontId="3" fillId="0" borderId="0" xfId="0" applyNumberFormat="1" applyFont="1" applyBorder="1" applyAlignment="1">
      <alignment horizontal="center"/>
    </xf>
    <xf numFmtId="42" fontId="0" fillId="0" borderId="15" xfId="0" applyNumberFormat="1" applyFont="1" applyBorder="1" applyAlignment="1">
      <alignment horizontal="center"/>
    </xf>
    <xf numFmtId="42" fontId="0" fillId="0" borderId="0" xfId="0" applyNumberFormat="1" applyFont="1" applyBorder="1" applyAlignment="1">
      <alignment horizontal="center"/>
    </xf>
    <xf numFmtId="42" fontId="0" fillId="0" borderId="0" xfId="0" applyNumberFormat="1" applyFont="1" applyFill="1" applyBorder="1" applyAlignment="1">
      <alignment horizontal="center"/>
    </xf>
    <xf numFmtId="41" fontId="0" fillId="0" borderId="15" xfId="0" applyNumberFormat="1" applyFont="1" applyBorder="1" applyAlignment="1">
      <alignment horizontal="center"/>
    </xf>
    <xf numFmtId="41" fontId="0" fillId="0" borderId="0" xfId="0" applyNumberFormat="1" applyFont="1" applyBorder="1" applyAlignment="1">
      <alignment horizontal="center"/>
    </xf>
    <xf numFmtId="41" fontId="0" fillId="0" borderId="0" xfId="0" applyNumberFormat="1" applyFont="1" applyFill="1" applyBorder="1" applyAlignment="1">
      <alignment horizontal="center"/>
    </xf>
    <xf numFmtId="41" fontId="0" fillId="0" borderId="15" xfId="0" applyNumberFormat="1" applyFont="1" applyFill="1" applyBorder="1" applyAlignment="1">
      <alignment horizontal="center"/>
    </xf>
    <xf numFmtId="9" fontId="0" fillId="0" borderId="0" xfId="0" applyNumberFormat="1" applyFont="1" applyBorder="1"/>
    <xf numFmtId="166" fontId="7" fillId="4" borderId="12" xfId="0" applyNumberFormat="1" applyFont="1" applyFill="1" applyBorder="1" applyAlignment="1">
      <alignment horizontal="center"/>
    </xf>
    <xf numFmtId="8" fontId="0" fillId="0" borderId="0" xfId="0" applyNumberFormat="1" applyFont="1" applyBorder="1"/>
    <xf numFmtId="0" fontId="21" fillId="11" borderId="2" xfId="0" applyFont="1" applyFill="1" applyBorder="1" applyAlignment="1">
      <alignment horizontal="left"/>
    </xf>
    <xf numFmtId="0" fontId="22" fillId="11" borderId="2" xfId="0" applyFont="1" applyFill="1" applyBorder="1" applyAlignment="1">
      <alignment horizontal="left"/>
    </xf>
    <xf numFmtId="0" fontId="0" fillId="7" borderId="0" xfId="0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7" borderId="0" xfId="0" applyFont="1" applyFill="1" applyAlignment="1">
      <alignment horizontal="centerContinuous"/>
    </xf>
    <xf numFmtId="0" fontId="1" fillId="7" borderId="2" xfId="0" applyFont="1" applyFill="1" applyBorder="1" applyAlignment="1">
      <alignment horizontal="center"/>
    </xf>
    <xf numFmtId="3" fontId="17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17" fillId="0" borderId="0" xfId="0" applyFont="1" applyAlignment="1">
      <alignment horizontal="center"/>
    </xf>
    <xf numFmtId="165" fontId="17" fillId="0" borderId="0" xfId="0" applyNumberFormat="1" applyFont="1"/>
    <xf numFmtId="42" fontId="17" fillId="0" borderId="0" xfId="0" applyNumberFormat="1" applyFont="1"/>
    <xf numFmtId="44" fontId="0" fillId="0" borderId="0" xfId="0" applyNumberFormat="1"/>
    <xf numFmtId="10" fontId="17" fillId="0" borderId="0" xfId="0" applyNumberFormat="1" applyFont="1" applyAlignment="1">
      <alignment horizontal="center"/>
    </xf>
    <xf numFmtId="41" fontId="17" fillId="0" borderId="0" xfId="0" applyNumberFormat="1" applyFont="1"/>
    <xf numFmtId="41" fontId="0" fillId="0" borderId="0" xfId="0" applyNumberFormat="1"/>
    <xf numFmtId="43" fontId="0" fillId="0" borderId="0" xfId="0" applyNumberFormat="1"/>
    <xf numFmtId="0" fontId="1" fillId="9" borderId="10" xfId="0" applyFont="1" applyFill="1" applyBorder="1"/>
    <xf numFmtId="0" fontId="0" fillId="9" borderId="11" xfId="0" applyFill="1" applyBorder="1"/>
    <xf numFmtId="3" fontId="23" fillId="9" borderId="11" xfId="0" applyNumberFormat="1" applyFont="1" applyFill="1" applyBorder="1" applyAlignment="1">
      <alignment horizontal="center"/>
    </xf>
    <xf numFmtId="0" fontId="23" fillId="9" borderId="11" xfId="0" applyFont="1" applyFill="1" applyBorder="1" applyAlignment="1">
      <alignment horizontal="center"/>
    </xf>
    <xf numFmtId="165" fontId="1" fillId="9" borderId="11" xfId="0" applyNumberFormat="1" applyFont="1" applyFill="1" applyBorder="1"/>
    <xf numFmtId="42" fontId="23" fillId="9" borderId="11" xfId="0" applyNumberFormat="1" applyFont="1" applyFill="1" applyBorder="1"/>
    <xf numFmtId="44" fontId="23" fillId="9" borderId="11" xfId="0" applyNumberFormat="1" applyFont="1" applyFill="1" applyBorder="1"/>
    <xf numFmtId="10" fontId="23" fillId="9" borderId="11" xfId="0" applyNumberFormat="1" applyFont="1" applyFill="1" applyBorder="1" applyAlignment="1">
      <alignment horizontal="center"/>
    </xf>
    <xf numFmtId="42" fontId="23" fillId="9" borderId="11" xfId="0" applyNumberFormat="1" applyFont="1" applyFill="1" applyBorder="1" applyAlignment="1">
      <alignment horizontal="center"/>
    </xf>
    <xf numFmtId="42" fontId="23" fillId="9" borderId="12" xfId="0" applyNumberFormat="1" applyFont="1" applyFill="1" applyBorder="1" applyAlignment="1">
      <alignment horizontal="center"/>
    </xf>
    <xf numFmtId="42" fontId="20" fillId="0" borderId="0" xfId="0" applyNumberFormat="1" applyFont="1"/>
    <xf numFmtId="0" fontId="4" fillId="2" borderId="16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BDD7EE"/>
      <color rgb="FF1F497D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B2:Q246"/>
  <sheetViews>
    <sheetView showGridLines="0" tabSelected="1" zoomScaleNormal="100" zoomScaleSheetLayoutView="40" workbookViewId="0">
      <selection activeCell="B2" sqref="B2"/>
    </sheetView>
  </sheetViews>
  <sheetFormatPr defaultRowHeight="14.4" outlineLevelRow="1" x14ac:dyDescent="0.3"/>
  <cols>
    <col min="1" max="2" width="2.77734375" customWidth="1"/>
    <col min="3" max="3" width="45.6640625" customWidth="1"/>
    <col min="4" max="17" width="14.44140625" customWidth="1"/>
    <col min="18" max="18" width="2.77734375" customWidth="1"/>
  </cols>
  <sheetData>
    <row r="2" spans="2:17" ht="18" x14ac:dyDescent="0.35">
      <c r="B2" s="1" t="str">
        <f>Property_Name&amp;" - Investment Analysis Model"</f>
        <v>The Lyric - Investment Analysis Model</v>
      </c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2:17" x14ac:dyDescent="0.3">
      <c r="B3" s="4" t="s">
        <v>150</v>
      </c>
      <c r="C3" s="2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7" x14ac:dyDescent="0.3"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7" x14ac:dyDescent="0.3">
      <c r="B5" s="5" t="s">
        <v>0</v>
      </c>
      <c r="C5" s="6"/>
      <c r="D5" s="6" t="s">
        <v>1</v>
      </c>
      <c r="E5" s="5"/>
      <c r="F5" s="5"/>
      <c r="G5" s="5"/>
      <c r="H5" s="5"/>
      <c r="I5" s="5"/>
      <c r="J5" s="6" t="str">
        <f>+$D$5</f>
        <v>Units:</v>
      </c>
      <c r="K5" s="5"/>
      <c r="L5" s="5"/>
      <c r="M5" s="5"/>
      <c r="N5" s="5"/>
      <c r="O5" s="5"/>
      <c r="P5" s="5"/>
      <c r="Q5" s="5"/>
    </row>
    <row r="6" spans="2:17" outlineLevel="1" x14ac:dyDescent="0.3">
      <c r="B6" s="4"/>
      <c r="C6" s="4"/>
      <c r="D6" s="3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7" outlineLevel="1" x14ac:dyDescent="0.3">
      <c r="B7" s="4"/>
      <c r="C7" s="4" t="s">
        <v>2</v>
      </c>
      <c r="D7" s="12" t="s">
        <v>78</v>
      </c>
      <c r="E7" s="7" t="s">
        <v>3</v>
      </c>
      <c r="F7" s="4"/>
      <c r="G7" s="14" t="s">
        <v>9</v>
      </c>
      <c r="H7" s="2"/>
      <c r="I7" s="2"/>
      <c r="J7" s="12" t="s">
        <v>161</v>
      </c>
      <c r="K7" s="15">
        <v>3.1621512767499933</v>
      </c>
      <c r="M7" s="10"/>
      <c r="N7" s="10"/>
      <c r="O7" s="10"/>
      <c r="P7" s="4"/>
    </row>
    <row r="8" spans="2:17" outlineLevel="1" x14ac:dyDescent="0.3">
      <c r="B8" s="4"/>
      <c r="C8" s="4" t="s">
        <v>5</v>
      </c>
      <c r="D8" s="12" t="s">
        <v>78</v>
      </c>
      <c r="E8" s="7" t="s">
        <v>6</v>
      </c>
      <c r="F8" s="4"/>
      <c r="G8" s="14" t="s">
        <v>160</v>
      </c>
      <c r="H8" s="2"/>
      <c r="I8" s="2"/>
      <c r="J8" s="12" t="s">
        <v>114</v>
      </c>
      <c r="K8" s="17">
        <v>150</v>
      </c>
      <c r="L8" s="4"/>
      <c r="M8" s="4"/>
      <c r="N8" s="4"/>
      <c r="O8" s="4"/>
      <c r="P8" s="4"/>
    </row>
    <row r="9" spans="2:17" outlineLevel="1" x14ac:dyDescent="0.3">
      <c r="B9" s="11"/>
      <c r="C9" s="4" t="s">
        <v>7</v>
      </c>
      <c r="D9" s="12" t="s">
        <v>8</v>
      </c>
      <c r="E9" s="13">
        <v>41213</v>
      </c>
      <c r="F9" s="11"/>
      <c r="G9" s="14"/>
      <c r="H9" s="14"/>
      <c r="I9" s="14"/>
      <c r="J9" s="14"/>
      <c r="K9" s="14"/>
      <c r="L9" s="11"/>
      <c r="M9" s="11"/>
      <c r="N9" s="11"/>
      <c r="O9" s="11"/>
      <c r="P9" s="11"/>
    </row>
    <row r="10" spans="2:17" outlineLevel="1" x14ac:dyDescent="0.3">
      <c r="B10" s="11"/>
      <c r="C10" s="11"/>
      <c r="D10" s="16"/>
      <c r="E10" s="11"/>
      <c r="F10" s="11"/>
      <c r="G10" s="14" t="s">
        <v>43</v>
      </c>
      <c r="H10" s="2"/>
      <c r="I10" s="2"/>
      <c r="J10" s="12" t="s">
        <v>13</v>
      </c>
      <c r="K10" s="100">
        <v>0.05</v>
      </c>
      <c r="L10" s="11"/>
      <c r="M10" s="11"/>
      <c r="N10" s="11"/>
      <c r="O10" s="11"/>
      <c r="P10" s="11"/>
    </row>
    <row r="11" spans="2:17" outlineLevel="1" x14ac:dyDescent="0.3">
      <c r="B11" s="4"/>
      <c r="C11" s="4" t="s">
        <v>12</v>
      </c>
      <c r="D11" s="12" t="s">
        <v>11</v>
      </c>
      <c r="E11" s="18">
        <v>12</v>
      </c>
      <c r="F11" s="4"/>
      <c r="G11" s="2"/>
      <c r="H11" s="2"/>
      <c r="I11" s="2"/>
      <c r="J11" s="2"/>
      <c r="K11" s="2"/>
      <c r="L11" s="4"/>
      <c r="M11" s="4"/>
      <c r="N11" s="4"/>
      <c r="O11" s="4"/>
      <c r="P11" s="4"/>
    </row>
    <row r="12" spans="2:17" outlineLevel="1" x14ac:dyDescent="0.3">
      <c r="B12" s="4"/>
      <c r="C12" s="11"/>
      <c r="D12" s="16"/>
      <c r="E12" s="11"/>
      <c r="F12" s="4"/>
      <c r="G12" s="14" t="s">
        <v>14</v>
      </c>
      <c r="H12" s="2"/>
      <c r="I12" s="2"/>
      <c r="J12" s="12" t="s">
        <v>115</v>
      </c>
      <c r="K12" s="17">
        <v>3300</v>
      </c>
      <c r="L12" s="4"/>
      <c r="M12" s="4"/>
      <c r="N12" s="4"/>
      <c r="O12" s="4"/>
      <c r="P12" s="4"/>
    </row>
    <row r="13" spans="2:17" outlineLevel="1" x14ac:dyDescent="0.3">
      <c r="B13" s="11"/>
      <c r="C13" s="4" t="s">
        <v>155</v>
      </c>
      <c r="D13" s="12" t="s">
        <v>11</v>
      </c>
      <c r="E13" s="9">
        <v>234</v>
      </c>
      <c r="F13" s="11"/>
      <c r="G13" s="14" t="s">
        <v>15</v>
      </c>
      <c r="H13" s="19"/>
      <c r="I13" s="19"/>
      <c r="J13" s="12" t="s">
        <v>161</v>
      </c>
      <c r="K13" s="15">
        <v>0.3</v>
      </c>
      <c r="L13" s="11"/>
      <c r="M13" s="11"/>
      <c r="N13" s="11"/>
      <c r="O13" s="11"/>
      <c r="P13" s="11"/>
    </row>
    <row r="14" spans="2:17" outlineLevel="1" x14ac:dyDescent="0.3">
      <c r="B14" s="4"/>
      <c r="C14" s="4" t="s">
        <v>156</v>
      </c>
      <c r="D14" s="12" t="s">
        <v>11</v>
      </c>
      <c r="E14" s="9">
        <v>361</v>
      </c>
      <c r="F14" s="4"/>
      <c r="G14" s="14" t="s">
        <v>16</v>
      </c>
      <c r="H14" s="2"/>
      <c r="I14" s="2"/>
      <c r="J14" s="12" t="s">
        <v>13</v>
      </c>
      <c r="K14" s="20">
        <v>0.03</v>
      </c>
      <c r="L14" s="4"/>
      <c r="M14" s="4"/>
      <c r="N14" s="4"/>
      <c r="O14" s="4"/>
      <c r="P14" s="4"/>
    </row>
    <row r="15" spans="2:17" outlineLevel="1" x14ac:dyDescent="0.3">
      <c r="B15" s="4"/>
      <c r="C15" s="4" t="s">
        <v>157</v>
      </c>
      <c r="D15" s="12" t="s">
        <v>11</v>
      </c>
      <c r="E15" s="9">
        <v>7</v>
      </c>
      <c r="F15" s="4"/>
      <c r="G15" s="14" t="s">
        <v>17</v>
      </c>
      <c r="H15" s="2"/>
      <c r="I15" s="2"/>
      <c r="J15" s="12" t="s">
        <v>115</v>
      </c>
      <c r="K15" s="17">
        <v>1500</v>
      </c>
      <c r="L15" s="4"/>
      <c r="M15" s="4"/>
      <c r="N15" s="4"/>
      <c r="O15" s="4"/>
      <c r="P15" s="4"/>
    </row>
    <row r="16" spans="2:17" outlineLevel="1" x14ac:dyDescent="0.3">
      <c r="B16" s="4"/>
      <c r="C16" s="4"/>
      <c r="D16" s="3"/>
      <c r="E16" s="4"/>
      <c r="F16" s="4"/>
      <c r="G16" s="14"/>
      <c r="H16" s="2"/>
      <c r="I16" s="2"/>
      <c r="J16" s="3"/>
      <c r="K16" s="4"/>
      <c r="L16" s="4"/>
      <c r="M16" s="4"/>
      <c r="N16" s="4"/>
      <c r="O16" s="4"/>
      <c r="P16" s="4"/>
    </row>
    <row r="17" spans="2:17" outlineLevel="1" x14ac:dyDescent="0.3">
      <c r="B17" s="4"/>
      <c r="C17" s="4" t="s">
        <v>18</v>
      </c>
      <c r="D17" s="21" t="s">
        <v>19</v>
      </c>
      <c r="E17" s="22">
        <v>186215</v>
      </c>
      <c r="F17" s="4"/>
      <c r="G17" s="14" t="s">
        <v>21</v>
      </c>
      <c r="H17" s="2"/>
      <c r="I17" s="2"/>
      <c r="J17" s="12" t="s">
        <v>115</v>
      </c>
      <c r="K17" s="17">
        <v>2000</v>
      </c>
      <c r="L17" s="4"/>
      <c r="M17" s="4"/>
      <c r="N17" s="4"/>
      <c r="O17" s="4"/>
      <c r="P17" s="4"/>
    </row>
    <row r="18" spans="2:17" outlineLevel="1" x14ac:dyDescent="0.3">
      <c r="B18" s="4"/>
      <c r="C18" s="4" t="s">
        <v>20</v>
      </c>
      <c r="D18" s="21" t="s">
        <v>19</v>
      </c>
      <c r="E18" s="23">
        <f>Rentable_SF/Apt_Units</f>
        <v>795.79059829059827</v>
      </c>
      <c r="F18" s="4"/>
      <c r="G18" s="14" t="s">
        <v>158</v>
      </c>
      <c r="H18" s="14"/>
      <c r="I18" s="14"/>
      <c r="J18" s="12" t="s">
        <v>115</v>
      </c>
      <c r="K18" s="17">
        <v>800</v>
      </c>
      <c r="L18" s="4"/>
      <c r="M18" s="4"/>
      <c r="N18" s="4"/>
      <c r="O18" s="4"/>
      <c r="P18" s="4"/>
    </row>
    <row r="19" spans="2:17" outlineLevel="1" x14ac:dyDescent="0.3">
      <c r="B19" s="4"/>
      <c r="F19" s="4"/>
      <c r="G19" s="14" t="s">
        <v>159</v>
      </c>
      <c r="H19" s="14"/>
      <c r="I19" s="14"/>
      <c r="J19" s="12" t="s">
        <v>115</v>
      </c>
      <c r="K19" s="17">
        <v>600</v>
      </c>
      <c r="L19" s="14"/>
      <c r="M19" s="4"/>
      <c r="N19" s="4"/>
      <c r="O19" s="4"/>
      <c r="P19" s="4"/>
    </row>
    <row r="20" spans="2:17" outlineLevel="1" x14ac:dyDescent="0.3">
      <c r="B20" s="11"/>
      <c r="C20" s="31" t="s">
        <v>4</v>
      </c>
      <c r="D20" s="107" t="s">
        <v>11</v>
      </c>
      <c r="E20" s="9">
        <v>1</v>
      </c>
      <c r="F20" s="11"/>
      <c r="L20" s="11"/>
      <c r="M20" s="11"/>
      <c r="N20" s="11"/>
      <c r="O20" s="11"/>
      <c r="P20" s="11"/>
    </row>
    <row r="21" spans="2:17" outlineLevel="1" x14ac:dyDescent="0.3">
      <c r="B21" s="11"/>
      <c r="C21" s="147" t="str">
        <f ca="1">OFFSET($C$50,Scenario,0)</f>
        <v>Scenario #1 - Steady Growth</v>
      </c>
      <c r="F21" s="11"/>
      <c r="L21" s="11"/>
      <c r="M21" s="11"/>
      <c r="N21" s="11"/>
      <c r="O21" s="11"/>
      <c r="P21" s="11"/>
    </row>
    <row r="22" spans="2:17" x14ac:dyDescent="0.3">
      <c r="B22" s="11"/>
      <c r="C22" s="11"/>
      <c r="D22" s="16"/>
      <c r="E22" s="11"/>
      <c r="F22" s="11"/>
      <c r="G22" s="11"/>
      <c r="H22" s="11"/>
      <c r="I22" s="11"/>
      <c r="J22" s="11"/>
      <c r="K22" s="24"/>
      <c r="L22" s="11"/>
      <c r="M22" s="11"/>
      <c r="N22" s="11"/>
      <c r="O22" s="11"/>
      <c r="P22" s="11"/>
    </row>
    <row r="23" spans="2:17" x14ac:dyDescent="0.3">
      <c r="B23" s="5" t="s">
        <v>22</v>
      </c>
      <c r="C23" s="5"/>
      <c r="D23" s="6" t="str">
        <f>+$D$5</f>
        <v>Units:</v>
      </c>
      <c r="E23" s="5"/>
      <c r="F23" s="5"/>
      <c r="G23" s="5"/>
      <c r="H23" s="5"/>
      <c r="I23" s="5"/>
      <c r="J23" s="6" t="str">
        <f>+$D$5</f>
        <v>Units:</v>
      </c>
      <c r="K23" s="5"/>
      <c r="L23" s="5"/>
      <c r="M23" s="5"/>
      <c r="N23" s="5"/>
      <c r="O23" s="5"/>
      <c r="P23" s="5"/>
      <c r="Q23" s="5"/>
    </row>
    <row r="24" spans="2:17" outlineLevel="1" x14ac:dyDescent="0.3">
      <c r="B24" s="4"/>
      <c r="C24" s="4"/>
      <c r="D24" s="3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7" outlineLevel="1" x14ac:dyDescent="0.3">
      <c r="B25" s="4"/>
      <c r="C25" s="4" t="s">
        <v>23</v>
      </c>
      <c r="D25" s="12" t="s">
        <v>8</v>
      </c>
      <c r="E25" s="13">
        <v>42004</v>
      </c>
      <c r="F25" s="4"/>
      <c r="G25" s="31" t="s">
        <v>31</v>
      </c>
      <c r="J25" s="12" t="s">
        <v>8</v>
      </c>
      <c r="K25" s="13">
        <v>45657</v>
      </c>
      <c r="L25" s="25"/>
    </row>
    <row r="26" spans="2:17" outlineLevel="1" x14ac:dyDescent="0.3">
      <c r="B26" s="4"/>
      <c r="C26" s="4" t="s">
        <v>24</v>
      </c>
      <c r="D26" s="26" t="s">
        <v>25</v>
      </c>
      <c r="E26" s="17">
        <v>120000000</v>
      </c>
      <c r="F26" s="4"/>
      <c r="G26" s="31" t="s">
        <v>92</v>
      </c>
      <c r="J26" s="26" t="s">
        <v>13</v>
      </c>
      <c r="K26" s="145">
        <f ca="1">OFFSET($K$31,Scenario,0)</f>
        <v>5.5E-2</v>
      </c>
      <c r="L26" s="25"/>
    </row>
    <row r="27" spans="2:17" outlineLevel="1" x14ac:dyDescent="0.3">
      <c r="B27" s="4"/>
      <c r="C27" s="4" t="s">
        <v>91</v>
      </c>
      <c r="D27" s="26" t="s">
        <v>13</v>
      </c>
      <c r="E27" s="145">
        <f ca="1">+G104/Entry_Price</f>
        <v>4.5657685500000003E-2</v>
      </c>
      <c r="F27" s="4"/>
      <c r="G27" s="31" t="s">
        <v>32</v>
      </c>
      <c r="J27" s="26" t="s">
        <v>25</v>
      </c>
      <c r="K27" s="27">
        <f ca="1">+OFFSET(G104,0,YEAR(Sale_Date)-YEAR(Start_Date))/Exit_Cap_Rate</f>
        <v>133876606.66122027</v>
      </c>
      <c r="L27" s="25"/>
    </row>
    <row r="28" spans="2:17" outlineLevel="1" x14ac:dyDescent="0.3">
      <c r="B28" s="4"/>
      <c r="C28" s="29" t="s">
        <v>87</v>
      </c>
      <c r="D28" s="12" t="s">
        <v>90</v>
      </c>
      <c r="E28" s="27">
        <f>+Entry_Price/Apt_Units</f>
        <v>512820.51282051281</v>
      </c>
      <c r="F28" s="4"/>
      <c r="G28" s="29" t="s">
        <v>93</v>
      </c>
      <c r="J28" s="12" t="s">
        <v>90</v>
      </c>
      <c r="K28" s="27">
        <f ca="1">+Exit_Price/Apt_Units</f>
        <v>572122.25068897544</v>
      </c>
      <c r="L28" s="25"/>
    </row>
    <row r="29" spans="2:17" outlineLevel="1" x14ac:dyDescent="0.3">
      <c r="B29" s="4"/>
      <c r="C29" s="29" t="s">
        <v>88</v>
      </c>
      <c r="D29" s="12" t="s">
        <v>89</v>
      </c>
      <c r="E29" s="76">
        <f>+Entry_Price/Rentable_SF</f>
        <v>644.41640039739013</v>
      </c>
      <c r="F29" s="4"/>
      <c r="G29" s="29" t="s">
        <v>94</v>
      </c>
      <c r="I29" s="4"/>
      <c r="J29" s="12" t="s">
        <v>89</v>
      </c>
      <c r="K29" s="76">
        <f ca="1">+Exit_Price/Rentable_SF</f>
        <v>718.93567468367348</v>
      </c>
      <c r="L29" s="4"/>
      <c r="M29" s="4"/>
      <c r="N29" s="4"/>
      <c r="O29" s="4"/>
      <c r="P29" s="4"/>
    </row>
    <row r="30" spans="2:17" outlineLevel="1" x14ac:dyDescent="0.3">
      <c r="B30" s="4"/>
      <c r="F30" s="4"/>
      <c r="L30" s="4"/>
      <c r="M30" s="4"/>
      <c r="N30" s="4"/>
      <c r="O30" s="4"/>
      <c r="P30" s="4"/>
    </row>
    <row r="31" spans="2:17" outlineLevel="1" x14ac:dyDescent="0.3">
      <c r="B31" s="4"/>
      <c r="C31" s="4" t="s">
        <v>26</v>
      </c>
      <c r="D31" s="12" t="s">
        <v>13</v>
      </c>
      <c r="E31" s="20">
        <v>0.01</v>
      </c>
      <c r="F31" s="4"/>
      <c r="G31" s="47" t="s">
        <v>28</v>
      </c>
      <c r="H31" s="150"/>
      <c r="I31" s="150"/>
      <c r="J31" s="150"/>
      <c r="K31" s="150"/>
      <c r="L31" s="4"/>
      <c r="M31" s="4"/>
      <c r="N31" s="4"/>
      <c r="O31" s="4"/>
      <c r="P31" s="4"/>
    </row>
    <row r="32" spans="2:17" outlineLevel="1" x14ac:dyDescent="0.3">
      <c r="B32" s="4"/>
      <c r="C32" s="29" t="s">
        <v>118</v>
      </c>
      <c r="D32" s="12" t="s">
        <v>13</v>
      </c>
      <c r="E32" s="20">
        <v>0.01</v>
      </c>
      <c r="F32" s="4"/>
      <c r="G32" s="14" t="str">
        <f>+$C$51</f>
        <v>Scenario #1 - Steady Growth</v>
      </c>
      <c r="H32" s="4"/>
      <c r="I32" s="4"/>
      <c r="J32" s="26" t="s">
        <v>13</v>
      </c>
      <c r="K32" s="149">
        <v>5.5E-2</v>
      </c>
      <c r="L32" s="4"/>
      <c r="M32" s="4"/>
      <c r="N32" s="4"/>
      <c r="O32" s="4"/>
      <c r="P32" s="4"/>
    </row>
    <row r="33" spans="2:17" outlineLevel="1" x14ac:dyDescent="0.3">
      <c r="B33" s="4"/>
      <c r="F33" s="4"/>
      <c r="G33" s="14" t="str">
        <f>+$C$52</f>
        <v>Scenario #2 - Decline and Recovery</v>
      </c>
      <c r="H33" s="4"/>
      <c r="I33" s="4"/>
      <c r="J33" s="26" t="s">
        <v>13</v>
      </c>
      <c r="K33" s="100">
        <v>0.04</v>
      </c>
      <c r="L33" s="4"/>
      <c r="M33" s="4"/>
      <c r="N33" s="4"/>
      <c r="O33" s="4"/>
      <c r="P33" s="4"/>
    </row>
    <row r="34" spans="2:17" outlineLevel="1" x14ac:dyDescent="0.3">
      <c r="B34" s="4"/>
      <c r="C34" s="29" t="s">
        <v>27</v>
      </c>
      <c r="D34" s="26" t="s">
        <v>13</v>
      </c>
      <c r="E34" s="20">
        <v>0.7</v>
      </c>
      <c r="F34" s="4"/>
      <c r="G34" s="14" t="str">
        <f>+$C$53</f>
        <v>Scenario #3 - Longer-Term Decline and Recovery</v>
      </c>
      <c r="H34" s="4"/>
      <c r="I34" s="4"/>
      <c r="J34" s="26" t="s">
        <v>13</v>
      </c>
      <c r="K34" s="100">
        <v>4.5999999999999999E-2</v>
      </c>
      <c r="L34" s="4"/>
      <c r="M34" s="4"/>
      <c r="N34" s="4"/>
      <c r="O34" s="4"/>
      <c r="P34" s="4"/>
    </row>
    <row r="35" spans="2:17" outlineLevel="1" x14ac:dyDescent="0.3">
      <c r="B35" s="4"/>
      <c r="C35" s="29" t="s">
        <v>29</v>
      </c>
      <c r="D35" s="26" t="s">
        <v>13</v>
      </c>
      <c r="E35" s="20">
        <v>0.04</v>
      </c>
      <c r="F35" s="4"/>
      <c r="L35" s="4"/>
      <c r="M35" s="4"/>
      <c r="N35" s="4"/>
      <c r="O35" s="4"/>
      <c r="P35" s="4"/>
    </row>
    <row r="36" spans="2:17" outlineLevel="1" x14ac:dyDescent="0.3">
      <c r="B36" s="4"/>
      <c r="C36" s="29" t="s">
        <v>117</v>
      </c>
      <c r="D36" s="26" t="s">
        <v>30</v>
      </c>
      <c r="E36" s="9">
        <v>30</v>
      </c>
      <c r="F36" s="4"/>
      <c r="G36" s="4" t="s">
        <v>33</v>
      </c>
      <c r="J36" s="12" t="s">
        <v>13</v>
      </c>
      <c r="K36" s="20">
        <v>0.02</v>
      </c>
      <c r="L36" s="4"/>
      <c r="M36" s="4"/>
      <c r="N36" s="4"/>
      <c r="O36" s="4"/>
      <c r="P36" s="4"/>
    </row>
    <row r="37" spans="2:17" outlineLevel="1" x14ac:dyDescent="0.3">
      <c r="B37" s="4"/>
      <c r="C37" s="29" t="s">
        <v>146</v>
      </c>
      <c r="D37" s="26" t="s">
        <v>30</v>
      </c>
      <c r="E37" s="9">
        <v>10</v>
      </c>
      <c r="F37" s="4"/>
      <c r="L37" s="4"/>
      <c r="M37" s="4"/>
      <c r="N37" s="4"/>
      <c r="O37" s="4"/>
      <c r="P37" s="4"/>
    </row>
    <row r="38" spans="2:17" outlineLevel="1" x14ac:dyDescent="0.3">
      <c r="B38" s="4"/>
      <c r="C38" s="29" t="s">
        <v>121</v>
      </c>
      <c r="D38" s="26" t="s">
        <v>13</v>
      </c>
      <c r="E38" s="20">
        <v>0.03</v>
      </c>
      <c r="F38" s="4"/>
      <c r="L38" s="4"/>
      <c r="M38" s="4"/>
      <c r="N38" s="4"/>
      <c r="O38" s="4"/>
      <c r="P38" s="4"/>
    </row>
    <row r="39" spans="2:17" x14ac:dyDescent="0.3">
      <c r="B39" s="4"/>
      <c r="C39" s="4"/>
      <c r="D39" s="30"/>
      <c r="E39" s="30"/>
      <c r="F39" s="4"/>
      <c r="G39" s="14"/>
      <c r="H39" s="4"/>
      <c r="I39" s="4"/>
      <c r="J39" s="4"/>
      <c r="K39" s="4"/>
      <c r="L39" s="4"/>
      <c r="M39" s="4"/>
      <c r="N39" s="4"/>
      <c r="O39" s="4"/>
      <c r="P39" s="4"/>
    </row>
    <row r="40" spans="2:17" x14ac:dyDescent="0.3">
      <c r="B40" s="5" t="s">
        <v>86</v>
      </c>
      <c r="C40" s="4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2:17" outlineLevel="1" x14ac:dyDescent="0.3">
      <c r="B41" s="4"/>
      <c r="C41" s="14"/>
      <c r="D41" s="3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2:17" outlineLevel="1" x14ac:dyDescent="0.3">
      <c r="B42" s="4"/>
      <c r="C42" s="47" t="s">
        <v>51</v>
      </c>
      <c r="D42" s="47"/>
      <c r="E42" s="47"/>
      <c r="F42" s="4"/>
      <c r="G42" s="47" t="s">
        <v>52</v>
      </c>
      <c r="H42" s="47"/>
      <c r="I42" s="47"/>
      <c r="J42" s="47"/>
      <c r="K42" s="47"/>
      <c r="M42" s="4"/>
      <c r="N42" s="4"/>
      <c r="O42" s="4"/>
      <c r="P42" s="4"/>
    </row>
    <row r="43" spans="2:17" outlineLevel="1" x14ac:dyDescent="0.3">
      <c r="B43" s="4"/>
      <c r="C43" s="48" t="s">
        <v>54</v>
      </c>
      <c r="D43" s="48"/>
      <c r="E43" s="59">
        <f>+Entry_Price*LTV</f>
        <v>84000000</v>
      </c>
      <c r="F43" s="159"/>
      <c r="G43" s="48" t="str">
        <f>C26</f>
        <v>Acquisition Price:</v>
      </c>
      <c r="H43" s="50"/>
      <c r="I43" s="50"/>
      <c r="J43" s="50"/>
      <c r="K43" s="59">
        <f>+Entry_Price</f>
        <v>120000000</v>
      </c>
      <c r="M43" s="4"/>
      <c r="N43" s="4"/>
      <c r="O43" s="4"/>
      <c r="P43" s="4"/>
    </row>
    <row r="44" spans="2:17" outlineLevel="1" x14ac:dyDescent="0.3">
      <c r="B44" s="4"/>
      <c r="C44" s="48" t="s">
        <v>53</v>
      </c>
      <c r="D44" s="48"/>
      <c r="E44" s="60">
        <f>+K46-E43</f>
        <v>38040000</v>
      </c>
      <c r="F44" s="4"/>
      <c r="G44" s="48" t="s">
        <v>119</v>
      </c>
      <c r="H44" s="50"/>
      <c r="I44" s="50"/>
      <c r="J44" s="50"/>
      <c r="K44" s="50">
        <f>+Entry_Price*Entry_Fee_Pct</f>
        <v>1200000</v>
      </c>
      <c r="M44" s="4"/>
      <c r="N44" s="4"/>
      <c r="O44" s="4"/>
      <c r="P44" s="4"/>
    </row>
    <row r="45" spans="2:17" outlineLevel="1" x14ac:dyDescent="0.3">
      <c r="B45" s="4"/>
      <c r="C45" s="51" t="s">
        <v>55</v>
      </c>
      <c r="D45" s="51"/>
      <c r="E45" s="66">
        <f>SUM(E43:E44)</f>
        <v>122040000</v>
      </c>
      <c r="F45" s="4"/>
      <c r="G45" s="48" t="s">
        <v>120</v>
      </c>
      <c r="K45" s="50">
        <f>+Entry_Price*LTV*Loan_Fees</f>
        <v>840000</v>
      </c>
      <c r="M45" s="4"/>
      <c r="N45" s="4"/>
      <c r="O45" s="4"/>
      <c r="P45" s="4"/>
    </row>
    <row r="46" spans="2:17" outlineLevel="1" x14ac:dyDescent="0.3">
      <c r="B46" s="4"/>
      <c r="C46" s="48"/>
      <c r="E46" s="59"/>
      <c r="F46" s="4"/>
      <c r="G46" s="51" t="s">
        <v>79</v>
      </c>
      <c r="H46" s="51"/>
      <c r="I46" s="51"/>
      <c r="J46" s="51"/>
      <c r="K46" s="66">
        <f>SUM(K43:K45)</f>
        <v>122040000</v>
      </c>
      <c r="M46" s="4"/>
      <c r="N46" s="4"/>
      <c r="O46" s="4"/>
      <c r="P46" s="4"/>
    </row>
    <row r="47" spans="2:17" x14ac:dyDescent="0.3">
      <c r="B47" s="4"/>
      <c r="C47" s="4"/>
      <c r="D47" s="30"/>
      <c r="E47" s="30"/>
      <c r="F47" s="4"/>
      <c r="G47" s="14"/>
      <c r="H47" s="4"/>
      <c r="I47" s="4"/>
      <c r="J47" s="4"/>
      <c r="K47" s="4"/>
      <c r="L47" s="4"/>
      <c r="M47" s="4"/>
      <c r="N47" s="4"/>
      <c r="O47" s="4"/>
      <c r="P47" s="4"/>
    </row>
    <row r="48" spans="2:17" x14ac:dyDescent="0.3">
      <c r="B48" s="32"/>
      <c r="C48" s="32"/>
      <c r="D48" s="33"/>
      <c r="E48" s="32"/>
      <c r="F48" s="34" t="s">
        <v>34</v>
      </c>
      <c r="G48" s="35" t="s">
        <v>35</v>
      </c>
      <c r="H48" s="36"/>
      <c r="I48" s="36"/>
      <c r="J48" s="36"/>
      <c r="K48" s="36"/>
      <c r="L48" s="36"/>
      <c r="M48" s="36"/>
      <c r="N48" s="36"/>
      <c r="O48" s="36"/>
      <c r="P48" s="36"/>
      <c r="Q48" s="69" t="s">
        <v>80</v>
      </c>
    </row>
    <row r="49" spans="2:17" x14ac:dyDescent="0.3">
      <c r="B49" s="5" t="s">
        <v>36</v>
      </c>
      <c r="C49" s="5"/>
      <c r="D49" s="6" t="str">
        <f>+$D$5</f>
        <v>Units:</v>
      </c>
      <c r="E49" s="5"/>
      <c r="F49" s="37">
        <f>Start_Date</f>
        <v>42004</v>
      </c>
      <c r="G49" s="38">
        <f t="shared" ref="G49:P49" si="0">EOMONTH(F49,Months)</f>
        <v>42369</v>
      </c>
      <c r="H49" s="37">
        <f t="shared" si="0"/>
        <v>42735</v>
      </c>
      <c r="I49" s="37">
        <f t="shared" si="0"/>
        <v>43100</v>
      </c>
      <c r="J49" s="37">
        <f t="shared" si="0"/>
        <v>43465</v>
      </c>
      <c r="K49" s="37">
        <f t="shared" si="0"/>
        <v>43830</v>
      </c>
      <c r="L49" s="37">
        <f t="shared" si="0"/>
        <v>44196</v>
      </c>
      <c r="M49" s="37">
        <f t="shared" si="0"/>
        <v>44561</v>
      </c>
      <c r="N49" s="37">
        <f t="shared" si="0"/>
        <v>44926</v>
      </c>
      <c r="O49" s="37">
        <f t="shared" si="0"/>
        <v>45291</v>
      </c>
      <c r="P49" s="37">
        <f t="shared" si="0"/>
        <v>45657</v>
      </c>
      <c r="Q49" s="37" t="s">
        <v>81</v>
      </c>
    </row>
    <row r="50" spans="2:17" outlineLevel="1" x14ac:dyDescent="0.3">
      <c r="B50" s="4"/>
      <c r="C50" s="4"/>
      <c r="D50" s="3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2:17" outlineLevel="1" x14ac:dyDescent="0.3">
      <c r="B51" s="4"/>
      <c r="C51" s="4" t="s">
        <v>37</v>
      </c>
      <c r="D51" s="9">
        <v>1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2:17" outlineLevel="1" x14ac:dyDescent="0.3">
      <c r="B52" s="4"/>
      <c r="C52" s="4" t="s">
        <v>38</v>
      </c>
      <c r="D52" s="9">
        <v>2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2:17" outlineLevel="1" x14ac:dyDescent="0.3">
      <c r="B53" s="4"/>
      <c r="C53" s="4" t="s">
        <v>39</v>
      </c>
      <c r="D53" s="9">
        <v>3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2:17" outlineLevel="1" x14ac:dyDescent="0.3">
      <c r="B54" s="4"/>
      <c r="C54" s="4"/>
      <c r="D54" s="3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2:17" outlineLevel="1" x14ac:dyDescent="0.3">
      <c r="B55" s="4"/>
      <c r="C55" s="25" t="str">
        <f>+$C$51&amp;":"</f>
        <v>Scenario #1 - Steady Growth:</v>
      </c>
      <c r="D55" s="3"/>
      <c r="E55" s="4"/>
      <c r="F55" s="4"/>
      <c r="G55" s="39" t="s">
        <v>40</v>
      </c>
      <c r="H55" s="40"/>
      <c r="I55" s="40"/>
      <c r="J55" s="40"/>
      <c r="K55" s="40"/>
      <c r="L55" s="40"/>
      <c r="M55" s="40"/>
      <c r="N55" s="40"/>
      <c r="O55" s="40"/>
      <c r="P55" s="40"/>
      <c r="Q55" s="40"/>
    </row>
    <row r="56" spans="2:17" outlineLevel="1" x14ac:dyDescent="0.3">
      <c r="B56" s="4"/>
      <c r="C56" s="14" t="s">
        <v>41</v>
      </c>
      <c r="D56" s="12" t="s">
        <v>13</v>
      </c>
      <c r="E56" s="4"/>
      <c r="F56" s="4"/>
      <c r="G56" s="20">
        <v>0.03</v>
      </c>
      <c r="H56" s="20">
        <v>0.03</v>
      </c>
      <c r="I56" s="20">
        <v>0.03</v>
      </c>
      <c r="J56" s="20">
        <v>0.03</v>
      </c>
      <c r="K56" s="20">
        <v>0.03</v>
      </c>
      <c r="L56" s="20">
        <v>0.03</v>
      </c>
      <c r="M56" s="20">
        <v>0.03</v>
      </c>
      <c r="N56" s="20">
        <v>0.03</v>
      </c>
      <c r="O56" s="20">
        <v>0.03</v>
      </c>
      <c r="P56" s="20">
        <v>0.03</v>
      </c>
      <c r="Q56" s="20">
        <v>0.03</v>
      </c>
    </row>
    <row r="57" spans="2:17" outlineLevel="1" x14ac:dyDescent="0.3">
      <c r="B57" s="4"/>
      <c r="C57" s="14" t="s">
        <v>42</v>
      </c>
      <c r="D57" s="12" t="s">
        <v>13</v>
      </c>
      <c r="E57" s="4"/>
      <c r="F57" s="4"/>
      <c r="G57" s="20">
        <v>0.03</v>
      </c>
      <c r="H57" s="20">
        <v>0.03</v>
      </c>
      <c r="I57" s="20">
        <v>0.03</v>
      </c>
      <c r="J57" s="20">
        <v>0.03</v>
      </c>
      <c r="K57" s="20">
        <v>0.03</v>
      </c>
      <c r="L57" s="20">
        <v>0.03</v>
      </c>
      <c r="M57" s="20">
        <v>0.03</v>
      </c>
      <c r="N57" s="20">
        <v>0.03</v>
      </c>
      <c r="O57" s="20">
        <v>0.03</v>
      </c>
      <c r="P57" s="20">
        <v>0.03</v>
      </c>
      <c r="Q57" s="20">
        <v>0.03</v>
      </c>
    </row>
    <row r="58" spans="2:17" outlineLevel="1" x14ac:dyDescent="0.3">
      <c r="B58" s="4"/>
      <c r="C58" s="14" t="s">
        <v>43</v>
      </c>
      <c r="D58" s="12" t="s">
        <v>13</v>
      </c>
      <c r="E58" s="4"/>
      <c r="F58" s="4"/>
      <c r="G58" s="20">
        <v>0.05</v>
      </c>
      <c r="H58" s="20">
        <v>0.05</v>
      </c>
      <c r="I58" s="20">
        <v>0.05</v>
      </c>
      <c r="J58" s="20">
        <v>0.05</v>
      </c>
      <c r="K58" s="20">
        <v>0.05</v>
      </c>
      <c r="L58" s="20">
        <v>0.05</v>
      </c>
      <c r="M58" s="20">
        <v>0.05</v>
      </c>
      <c r="N58" s="20">
        <v>0.05</v>
      </c>
      <c r="O58" s="20">
        <v>0.05</v>
      </c>
      <c r="P58" s="20">
        <v>0.05</v>
      </c>
      <c r="Q58" s="20">
        <v>0.05</v>
      </c>
    </row>
    <row r="59" spans="2:17" outlineLevel="1" x14ac:dyDescent="0.3">
      <c r="B59" s="4"/>
      <c r="C59" s="41" t="s">
        <v>44</v>
      </c>
      <c r="D59" s="12" t="s">
        <v>13</v>
      </c>
      <c r="E59" s="4"/>
      <c r="F59" s="4"/>
      <c r="G59" s="20">
        <v>0.03</v>
      </c>
      <c r="H59" s="20">
        <v>0.03</v>
      </c>
      <c r="I59" s="20">
        <v>0.03</v>
      </c>
      <c r="J59" s="20">
        <v>0.03</v>
      </c>
      <c r="K59" s="20">
        <v>0.03</v>
      </c>
      <c r="L59" s="20">
        <v>0.03</v>
      </c>
      <c r="M59" s="20">
        <v>0.03</v>
      </c>
      <c r="N59" s="20">
        <v>0.03</v>
      </c>
      <c r="O59" s="20">
        <v>0.03</v>
      </c>
      <c r="P59" s="20">
        <v>0.03</v>
      </c>
      <c r="Q59" s="20">
        <v>0.03</v>
      </c>
    </row>
    <row r="60" spans="2:17" outlineLevel="1" x14ac:dyDescent="0.3">
      <c r="B60" s="4"/>
      <c r="C60" s="41" t="s">
        <v>45</v>
      </c>
      <c r="D60" s="12" t="s">
        <v>13</v>
      </c>
      <c r="E60" s="4"/>
      <c r="F60" s="4"/>
      <c r="G60" s="20">
        <v>0.03</v>
      </c>
      <c r="H60" s="20">
        <v>0.03</v>
      </c>
      <c r="I60" s="20">
        <v>0.03</v>
      </c>
      <c r="J60" s="20">
        <v>0.03</v>
      </c>
      <c r="K60" s="20">
        <v>0.03</v>
      </c>
      <c r="L60" s="20">
        <v>0.03</v>
      </c>
      <c r="M60" s="20">
        <v>0.03</v>
      </c>
      <c r="N60" s="20">
        <v>0.03</v>
      </c>
      <c r="O60" s="20">
        <v>0.03</v>
      </c>
      <c r="P60" s="20">
        <v>0.03</v>
      </c>
      <c r="Q60" s="20">
        <v>0.03</v>
      </c>
    </row>
    <row r="61" spans="2:17" outlineLevel="1" x14ac:dyDescent="0.3">
      <c r="B61" s="4"/>
      <c r="C61" s="41" t="s">
        <v>46</v>
      </c>
      <c r="D61" s="12" t="s">
        <v>13</v>
      </c>
      <c r="E61" s="4"/>
      <c r="F61" s="4"/>
      <c r="G61" s="20">
        <v>0.02</v>
      </c>
      <c r="H61" s="20">
        <v>0.02</v>
      </c>
      <c r="I61" s="20">
        <v>0.02</v>
      </c>
      <c r="J61" s="20">
        <v>0.02</v>
      </c>
      <c r="K61" s="20">
        <v>0.02</v>
      </c>
      <c r="L61" s="20">
        <v>0.02</v>
      </c>
      <c r="M61" s="20">
        <v>0.02</v>
      </c>
      <c r="N61" s="20">
        <v>0.02</v>
      </c>
      <c r="O61" s="20">
        <v>0.02</v>
      </c>
      <c r="P61" s="20">
        <v>0.02</v>
      </c>
      <c r="Q61" s="20">
        <v>0.02</v>
      </c>
    </row>
    <row r="62" spans="2:17" outlineLevel="1" x14ac:dyDescent="0.3">
      <c r="B62" s="4"/>
      <c r="C62" s="41" t="s">
        <v>47</v>
      </c>
      <c r="D62" s="12" t="s">
        <v>13</v>
      </c>
      <c r="E62" s="4"/>
      <c r="F62" s="4"/>
      <c r="G62" s="20">
        <v>0.02</v>
      </c>
      <c r="H62" s="20">
        <v>0.02</v>
      </c>
      <c r="I62" s="20">
        <v>0.02</v>
      </c>
      <c r="J62" s="20">
        <v>0.02</v>
      </c>
      <c r="K62" s="20">
        <v>0.02</v>
      </c>
      <c r="L62" s="20">
        <v>0.02</v>
      </c>
      <c r="M62" s="20">
        <v>0.02</v>
      </c>
      <c r="N62" s="20">
        <v>0.02</v>
      </c>
      <c r="O62" s="20">
        <v>0.02</v>
      </c>
      <c r="P62" s="20">
        <v>0.02</v>
      </c>
      <c r="Q62" s="20">
        <v>0.02</v>
      </c>
    </row>
    <row r="63" spans="2:17" outlineLevel="1" x14ac:dyDescent="0.3">
      <c r="B63" s="4"/>
      <c r="C63" s="41" t="s">
        <v>48</v>
      </c>
      <c r="D63" s="12" t="s">
        <v>13</v>
      </c>
      <c r="E63" s="4"/>
      <c r="F63" s="4"/>
      <c r="G63" s="20">
        <v>0.02</v>
      </c>
      <c r="H63" s="20">
        <v>0.02</v>
      </c>
      <c r="I63" s="20">
        <v>0.02</v>
      </c>
      <c r="J63" s="20">
        <v>0.02</v>
      </c>
      <c r="K63" s="20">
        <v>0.02</v>
      </c>
      <c r="L63" s="20">
        <v>0.02</v>
      </c>
      <c r="M63" s="20">
        <v>0.02</v>
      </c>
      <c r="N63" s="20">
        <v>0.02</v>
      </c>
      <c r="O63" s="20">
        <v>0.02</v>
      </c>
      <c r="P63" s="20">
        <v>0.02</v>
      </c>
      <c r="Q63" s="20">
        <v>0.02</v>
      </c>
    </row>
    <row r="64" spans="2:17" outlineLevel="1" x14ac:dyDescent="0.3">
      <c r="B64" s="4"/>
      <c r="C64" s="4"/>
      <c r="D64" s="3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2:17" outlineLevel="1" x14ac:dyDescent="0.3">
      <c r="B65" s="4"/>
      <c r="C65" s="25" t="str">
        <f>+$C$52&amp;":"</f>
        <v>Scenario #2 - Decline and Recovery:</v>
      </c>
      <c r="D65" s="3"/>
      <c r="E65" s="4"/>
      <c r="F65" s="4"/>
      <c r="G65" s="42" t="s">
        <v>49</v>
      </c>
      <c r="H65" s="43"/>
      <c r="I65" s="43"/>
      <c r="J65" s="44" t="s">
        <v>50</v>
      </c>
      <c r="K65" s="45"/>
      <c r="L65" s="45"/>
      <c r="M65" s="45"/>
      <c r="N65" s="39" t="s">
        <v>40</v>
      </c>
      <c r="O65" s="40"/>
      <c r="P65" s="40"/>
      <c r="Q65" s="40"/>
    </row>
    <row r="66" spans="2:17" outlineLevel="1" x14ac:dyDescent="0.3">
      <c r="B66" s="4"/>
      <c r="C66" s="14" t="str">
        <f>+$C$56</f>
        <v>Rental Income Growth Rate:</v>
      </c>
      <c r="D66" s="12" t="s">
        <v>13</v>
      </c>
      <c r="E66" s="4"/>
      <c r="F66" s="4"/>
      <c r="G66" s="20">
        <v>-0.03</v>
      </c>
      <c r="H66" s="20">
        <v>-0.03</v>
      </c>
      <c r="I66" s="20">
        <v>-0.02</v>
      </c>
      <c r="J66" s="20">
        <v>-0.01</v>
      </c>
      <c r="K66" s="20">
        <v>0</v>
      </c>
      <c r="L66" s="20">
        <v>0.01</v>
      </c>
      <c r="M66" s="20">
        <v>0.02</v>
      </c>
      <c r="N66" s="20">
        <v>0.03</v>
      </c>
      <c r="O66" s="20">
        <v>0.03</v>
      </c>
      <c r="P66" s="20">
        <v>0.03</v>
      </c>
      <c r="Q66" s="20">
        <v>0.03</v>
      </c>
    </row>
    <row r="67" spans="2:17" outlineLevel="1" x14ac:dyDescent="0.3">
      <c r="B67" s="4"/>
      <c r="C67" s="14" t="str">
        <f>+$C$57</f>
        <v>Other Income Growth Rate:</v>
      </c>
      <c r="D67" s="12" t="s">
        <v>13</v>
      </c>
      <c r="E67" s="4"/>
      <c r="F67" s="4"/>
      <c r="G67" s="20">
        <v>-7.0000000000000007E-2</v>
      </c>
      <c r="H67" s="20">
        <v>-0.05</v>
      </c>
      <c r="I67" s="20">
        <v>-0.03</v>
      </c>
      <c r="J67" s="20">
        <v>-0.02</v>
      </c>
      <c r="K67" s="20">
        <v>-0.01</v>
      </c>
      <c r="L67" s="20">
        <v>0.05</v>
      </c>
      <c r="M67" s="20">
        <v>0.03</v>
      </c>
      <c r="N67" s="20">
        <v>0.03</v>
      </c>
      <c r="O67" s="20">
        <v>0.03</v>
      </c>
      <c r="P67" s="20">
        <v>0.03</v>
      </c>
      <c r="Q67" s="20">
        <v>0.03</v>
      </c>
    </row>
    <row r="68" spans="2:17" outlineLevel="1" x14ac:dyDescent="0.3">
      <c r="B68" s="4"/>
      <c r="C68" s="14" t="str">
        <f>+$C$58</f>
        <v>Vacancy / Collection Loss:</v>
      </c>
      <c r="D68" s="12" t="s">
        <v>13</v>
      </c>
      <c r="E68" s="4"/>
      <c r="F68" s="4"/>
      <c r="G68" s="20">
        <v>7.0000000000000007E-2</v>
      </c>
      <c r="H68" s="20">
        <v>0.08</v>
      </c>
      <c r="I68" s="20">
        <v>0.09</v>
      </c>
      <c r="J68" s="20">
        <v>0.08</v>
      </c>
      <c r="K68" s="20">
        <v>7.0000000000000007E-2</v>
      </c>
      <c r="L68" s="20">
        <v>0.06</v>
      </c>
      <c r="M68" s="20">
        <v>5.5E-2</v>
      </c>
      <c r="N68" s="20">
        <v>0.05</v>
      </c>
      <c r="O68" s="20">
        <v>0.05</v>
      </c>
      <c r="P68" s="20">
        <v>0.05</v>
      </c>
      <c r="Q68" s="20">
        <v>0.05</v>
      </c>
    </row>
    <row r="69" spans="2:17" outlineLevel="1" x14ac:dyDescent="0.3">
      <c r="B69" s="4"/>
      <c r="C69" s="14" t="str">
        <f>+$C$59</f>
        <v>Operating Expense Growth Rate:</v>
      </c>
      <c r="D69" s="12" t="s">
        <v>13</v>
      </c>
      <c r="E69" s="4"/>
      <c r="F69" s="4"/>
      <c r="G69" s="20">
        <v>-0.02</v>
      </c>
      <c r="H69" s="20">
        <v>-0.01</v>
      </c>
      <c r="I69" s="20">
        <v>-0.01</v>
      </c>
      <c r="J69" s="20">
        <v>0</v>
      </c>
      <c r="K69" s="20">
        <v>0.04</v>
      </c>
      <c r="L69" s="20">
        <v>3.5000000000000003E-2</v>
      </c>
      <c r="M69" s="20">
        <v>3.5000000000000003E-2</v>
      </c>
      <c r="N69" s="20">
        <v>0.03</v>
      </c>
      <c r="O69" s="20">
        <v>0.03</v>
      </c>
      <c r="P69" s="20">
        <v>0.03</v>
      </c>
      <c r="Q69" s="20">
        <v>0.03</v>
      </c>
    </row>
    <row r="70" spans="2:17" outlineLevel="1" x14ac:dyDescent="0.3">
      <c r="B70" s="4"/>
      <c r="C70" s="14" t="str">
        <f>+$C$60</f>
        <v>Replacement Reserve Growth Rate:</v>
      </c>
      <c r="D70" s="12" t="s">
        <v>13</v>
      </c>
      <c r="E70" s="4"/>
      <c r="F70" s="4"/>
      <c r="G70" s="20">
        <v>-0.03</v>
      </c>
      <c r="H70" s="20">
        <v>-0.02</v>
      </c>
      <c r="I70" s="20">
        <v>-0.02</v>
      </c>
      <c r="J70" s="20">
        <v>-0.01</v>
      </c>
      <c r="K70" s="20">
        <v>0.02</v>
      </c>
      <c r="L70" s="20">
        <v>0.05</v>
      </c>
      <c r="M70" s="20">
        <v>0.04</v>
      </c>
      <c r="N70" s="20">
        <v>0.03</v>
      </c>
      <c r="O70" s="20">
        <v>0.03</v>
      </c>
      <c r="P70" s="20">
        <v>0.03</v>
      </c>
      <c r="Q70" s="20">
        <v>0.03</v>
      </c>
    </row>
    <row r="71" spans="2:17" outlineLevel="1" x14ac:dyDescent="0.3">
      <c r="B71" s="4"/>
      <c r="C71" s="14" t="str">
        <f>+$C$61</f>
        <v>CapEx Growth Rate:</v>
      </c>
      <c r="D71" s="12" t="s">
        <v>13</v>
      </c>
      <c r="E71" s="4"/>
      <c r="F71" s="4"/>
      <c r="G71" s="20">
        <v>-0.03</v>
      </c>
      <c r="H71" s="20">
        <v>-0.05</v>
      </c>
      <c r="I71" s="20">
        <v>0.05</v>
      </c>
      <c r="J71" s="20">
        <v>0.04</v>
      </c>
      <c r="K71" s="20">
        <v>0.1</v>
      </c>
      <c r="L71" s="20">
        <v>0.05</v>
      </c>
      <c r="M71" s="20">
        <v>0.05</v>
      </c>
      <c r="N71" s="20">
        <v>-0.05</v>
      </c>
      <c r="O71" s="20">
        <v>-0.05</v>
      </c>
      <c r="P71" s="20">
        <v>0.02</v>
      </c>
      <c r="Q71" s="20">
        <v>0.02</v>
      </c>
    </row>
    <row r="72" spans="2:17" outlineLevel="1" x14ac:dyDescent="0.3">
      <c r="B72" s="4"/>
      <c r="C72" s="14" t="str">
        <f>+$C$62</f>
        <v>Tenant Improvements (TIs) Growth Rate:</v>
      </c>
      <c r="D72" s="12" t="s">
        <v>13</v>
      </c>
      <c r="E72" s="4"/>
      <c r="F72" s="4"/>
      <c r="G72" s="20">
        <v>7.0000000000000007E-2</v>
      </c>
      <c r="H72" s="20">
        <v>0.1</v>
      </c>
      <c r="I72" s="20">
        <v>0.1</v>
      </c>
      <c r="J72" s="20">
        <v>-0.05</v>
      </c>
      <c r="K72" s="20">
        <v>-0.05</v>
      </c>
      <c r="L72" s="20">
        <v>-0.05</v>
      </c>
      <c r="M72" s="20">
        <v>-0.05</v>
      </c>
      <c r="N72" s="20">
        <v>-0.05</v>
      </c>
      <c r="O72" s="20">
        <v>-0.05</v>
      </c>
      <c r="P72" s="20">
        <v>-0.03</v>
      </c>
      <c r="Q72" s="20">
        <v>0.02</v>
      </c>
    </row>
    <row r="73" spans="2:17" outlineLevel="1" x14ac:dyDescent="0.3">
      <c r="B73" s="4"/>
      <c r="C73" s="14" t="str">
        <f>+$C$63</f>
        <v>Leasing Commissions (LCs) Growth Rate:</v>
      </c>
      <c r="D73" s="12" t="s">
        <v>13</v>
      </c>
      <c r="E73" s="4"/>
      <c r="F73" s="4"/>
      <c r="G73" s="20">
        <v>0.2</v>
      </c>
      <c r="H73" s="20">
        <v>0.15</v>
      </c>
      <c r="I73" s="20">
        <v>0.15</v>
      </c>
      <c r="J73" s="20">
        <v>0.1</v>
      </c>
      <c r="K73" s="20">
        <v>-0.05</v>
      </c>
      <c r="L73" s="20">
        <v>-0.05</v>
      </c>
      <c r="M73" s="20">
        <v>-0.05</v>
      </c>
      <c r="N73" s="20">
        <v>-0.1</v>
      </c>
      <c r="O73" s="20">
        <v>-0.05</v>
      </c>
      <c r="P73" s="20">
        <v>-0.06</v>
      </c>
      <c r="Q73" s="20">
        <v>0.02</v>
      </c>
    </row>
    <row r="74" spans="2:17" outlineLevel="1" x14ac:dyDescent="0.3">
      <c r="B74" s="4"/>
      <c r="C74" s="4"/>
      <c r="D74" s="3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2:17" outlineLevel="1" x14ac:dyDescent="0.3">
      <c r="B75" s="4"/>
      <c r="C75" s="25" t="str">
        <f>+$C$53&amp;":"</f>
        <v>Scenario #3 - Longer-Term Decline and Recovery:</v>
      </c>
      <c r="D75" s="3"/>
      <c r="E75" s="4"/>
      <c r="F75" s="4"/>
      <c r="G75" s="39" t="s">
        <v>85</v>
      </c>
      <c r="H75" s="40"/>
      <c r="I75" s="42" t="s">
        <v>49</v>
      </c>
      <c r="J75" s="43"/>
      <c r="K75" s="43"/>
      <c r="L75" s="74" t="s">
        <v>50</v>
      </c>
      <c r="M75" s="45"/>
      <c r="N75" s="45"/>
      <c r="O75" s="39" t="s">
        <v>40</v>
      </c>
      <c r="P75" s="40"/>
      <c r="Q75" s="40"/>
    </row>
    <row r="76" spans="2:17" outlineLevel="1" x14ac:dyDescent="0.3">
      <c r="B76" s="4"/>
      <c r="C76" s="14" t="str">
        <f>+$C$56</f>
        <v>Rental Income Growth Rate:</v>
      </c>
      <c r="D76" s="12" t="s">
        <v>13</v>
      </c>
      <c r="E76" s="4"/>
      <c r="F76" s="4"/>
      <c r="G76" s="20">
        <v>0.06</v>
      </c>
      <c r="H76" s="20">
        <v>0.05</v>
      </c>
      <c r="I76" s="20">
        <v>-0.03</v>
      </c>
      <c r="J76" s="20">
        <v>-0.03</v>
      </c>
      <c r="K76" s="20">
        <v>-2.5000000000000001E-2</v>
      </c>
      <c r="L76" s="20">
        <v>-0.02</v>
      </c>
      <c r="M76" s="20">
        <v>-0.01</v>
      </c>
      <c r="N76" s="20">
        <v>0.01</v>
      </c>
      <c r="O76" s="20">
        <v>0.03</v>
      </c>
      <c r="P76" s="20">
        <v>0.03</v>
      </c>
      <c r="Q76" s="20">
        <v>0.03</v>
      </c>
    </row>
    <row r="77" spans="2:17" outlineLevel="1" x14ac:dyDescent="0.3">
      <c r="B77" s="4"/>
      <c r="C77" s="14" t="str">
        <f>+$C$57</f>
        <v>Other Income Growth Rate:</v>
      </c>
      <c r="D77" s="12" t="s">
        <v>13</v>
      </c>
      <c r="E77" s="4"/>
      <c r="F77" s="4"/>
      <c r="G77" s="20">
        <v>0.08</v>
      </c>
      <c r="H77" s="20">
        <v>7.0000000000000007E-2</v>
      </c>
      <c r="I77" s="20">
        <v>-0.06</v>
      </c>
      <c r="J77" s="20">
        <v>-0.05</v>
      </c>
      <c r="K77" s="20">
        <v>-0.04</v>
      </c>
      <c r="L77" s="20">
        <v>-0.03</v>
      </c>
      <c r="M77" s="20">
        <v>-1.4999999999999999E-2</v>
      </c>
      <c r="N77" s="20">
        <v>0.05</v>
      </c>
      <c r="O77" s="20">
        <v>0.03</v>
      </c>
      <c r="P77" s="20">
        <v>0.03</v>
      </c>
      <c r="Q77" s="20">
        <v>0.03</v>
      </c>
    </row>
    <row r="78" spans="2:17" outlineLevel="1" x14ac:dyDescent="0.3">
      <c r="B78" s="4"/>
      <c r="C78" s="14" t="str">
        <f>+$C$58</f>
        <v>Vacancy / Collection Loss:</v>
      </c>
      <c r="D78" s="12" t="s">
        <v>13</v>
      </c>
      <c r="E78" s="4"/>
      <c r="F78" s="4"/>
      <c r="G78" s="20">
        <v>4.4999999999999998E-2</v>
      </c>
      <c r="H78" s="20">
        <v>0.04</v>
      </c>
      <c r="I78" s="20">
        <v>7.0000000000000007E-2</v>
      </c>
      <c r="J78" s="20">
        <v>0.08</v>
      </c>
      <c r="K78" s="20">
        <v>0.09</v>
      </c>
      <c r="L78" s="20">
        <v>0.08</v>
      </c>
      <c r="M78" s="20">
        <v>7.0000000000000007E-2</v>
      </c>
      <c r="N78" s="20">
        <v>0.06</v>
      </c>
      <c r="O78" s="20">
        <v>0.05</v>
      </c>
      <c r="P78" s="20">
        <v>0.05</v>
      </c>
      <c r="Q78" s="20">
        <v>0.05</v>
      </c>
    </row>
    <row r="79" spans="2:17" outlineLevel="1" x14ac:dyDescent="0.3">
      <c r="B79" s="4"/>
      <c r="C79" s="14" t="str">
        <f>+$C$59</f>
        <v>Operating Expense Growth Rate:</v>
      </c>
      <c r="D79" s="12" t="s">
        <v>13</v>
      </c>
      <c r="E79" s="4"/>
      <c r="F79" s="4"/>
      <c r="G79" s="20">
        <v>0.04</v>
      </c>
      <c r="H79" s="20">
        <v>3.5000000000000003E-2</v>
      </c>
      <c r="I79" s="20">
        <v>-0.02</v>
      </c>
      <c r="J79" s="20">
        <v>-0.01</v>
      </c>
      <c r="K79" s="20">
        <v>-0.01</v>
      </c>
      <c r="L79" s="20">
        <v>0</v>
      </c>
      <c r="M79" s="20">
        <v>0.04</v>
      </c>
      <c r="N79" s="20">
        <v>3.5000000000000003E-2</v>
      </c>
      <c r="O79" s="20">
        <v>0.03</v>
      </c>
      <c r="P79" s="20">
        <v>0.03</v>
      </c>
      <c r="Q79" s="20">
        <v>0.03</v>
      </c>
    </row>
    <row r="80" spans="2:17" outlineLevel="1" x14ac:dyDescent="0.3">
      <c r="B80" s="4"/>
      <c r="C80" s="14" t="str">
        <f>+$C$60</f>
        <v>Replacement Reserve Growth Rate:</v>
      </c>
      <c r="D80" s="12" t="s">
        <v>13</v>
      </c>
      <c r="E80" s="4"/>
      <c r="F80" s="4"/>
      <c r="G80" s="20">
        <v>0.03</v>
      </c>
      <c r="H80" s="20">
        <v>0.03</v>
      </c>
      <c r="I80" s="20">
        <v>-0.03</v>
      </c>
      <c r="J80" s="20">
        <v>-0.02</v>
      </c>
      <c r="K80" s="20">
        <v>-0.02</v>
      </c>
      <c r="L80" s="20">
        <v>-0.01</v>
      </c>
      <c r="M80" s="20">
        <v>0.02</v>
      </c>
      <c r="N80" s="20">
        <v>0.05</v>
      </c>
      <c r="O80" s="20">
        <v>0.03</v>
      </c>
      <c r="P80" s="20">
        <v>0.03</v>
      </c>
      <c r="Q80" s="20">
        <v>0.03</v>
      </c>
    </row>
    <row r="81" spans="2:17" outlineLevel="1" x14ac:dyDescent="0.3">
      <c r="B81" s="4"/>
      <c r="C81" s="14" t="str">
        <f>+$C$61</f>
        <v>CapEx Growth Rate:</v>
      </c>
      <c r="D81" s="12" t="s">
        <v>13</v>
      </c>
      <c r="E81" s="4"/>
      <c r="F81" s="4"/>
      <c r="G81" s="20">
        <v>0.02</v>
      </c>
      <c r="H81" s="20">
        <v>0.02</v>
      </c>
      <c r="I81" s="20">
        <v>-0.03</v>
      </c>
      <c r="J81" s="20">
        <v>-0.05</v>
      </c>
      <c r="K81" s="20">
        <v>0.05</v>
      </c>
      <c r="L81" s="20">
        <v>0.04</v>
      </c>
      <c r="M81" s="20">
        <v>0.1</v>
      </c>
      <c r="N81" s="20">
        <v>0.05</v>
      </c>
      <c r="O81" s="20">
        <v>-0.05</v>
      </c>
      <c r="P81" s="20">
        <v>0.02</v>
      </c>
      <c r="Q81" s="20">
        <v>0.02</v>
      </c>
    </row>
    <row r="82" spans="2:17" outlineLevel="1" x14ac:dyDescent="0.3">
      <c r="B82" s="4"/>
      <c r="C82" s="14" t="str">
        <f>+$C$62</f>
        <v>Tenant Improvements (TIs) Growth Rate:</v>
      </c>
      <c r="D82" s="12" t="s">
        <v>13</v>
      </c>
      <c r="E82" s="4"/>
      <c r="F82" s="4"/>
      <c r="G82" s="20">
        <v>0.02</v>
      </c>
      <c r="H82" s="20">
        <v>0.02</v>
      </c>
      <c r="I82" s="20">
        <v>7.0000000000000007E-2</v>
      </c>
      <c r="J82" s="20">
        <v>0.1</v>
      </c>
      <c r="K82" s="20">
        <v>0.1</v>
      </c>
      <c r="L82" s="20">
        <v>-0.05</v>
      </c>
      <c r="M82" s="20">
        <v>-0.05</v>
      </c>
      <c r="N82" s="20">
        <v>-0.05</v>
      </c>
      <c r="O82" s="20">
        <v>-0.05</v>
      </c>
      <c r="P82" s="20">
        <v>-0.03</v>
      </c>
      <c r="Q82" s="20">
        <v>0.02</v>
      </c>
    </row>
    <row r="83" spans="2:17" outlineLevel="1" x14ac:dyDescent="0.3">
      <c r="B83" s="4"/>
      <c r="C83" s="14" t="str">
        <f>+$C$63</f>
        <v>Leasing Commissions (LCs) Growth Rate:</v>
      </c>
      <c r="D83" s="12" t="s">
        <v>13</v>
      </c>
      <c r="E83" s="4"/>
      <c r="F83" s="4"/>
      <c r="G83" s="20">
        <v>0.02</v>
      </c>
      <c r="H83" s="20">
        <v>0.02</v>
      </c>
      <c r="I83" s="20">
        <v>0.2</v>
      </c>
      <c r="J83" s="20">
        <v>0.15</v>
      </c>
      <c r="K83" s="20">
        <v>0.1</v>
      </c>
      <c r="L83" s="20">
        <v>0.1</v>
      </c>
      <c r="M83" s="20">
        <v>-0.05</v>
      </c>
      <c r="N83" s="20">
        <v>-0.05</v>
      </c>
      <c r="O83" s="20">
        <v>-0.1</v>
      </c>
      <c r="P83" s="20">
        <v>-0.06</v>
      </c>
      <c r="Q83" s="20">
        <v>0.02</v>
      </c>
    </row>
    <row r="84" spans="2:17" outlineLevel="1" x14ac:dyDescent="0.3">
      <c r="B84" s="4"/>
      <c r="C84" s="4"/>
      <c r="D84" s="3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2:17" outlineLevel="1" x14ac:dyDescent="0.3">
      <c r="B85" s="52"/>
      <c r="C85" s="53" t="s">
        <v>56</v>
      </c>
      <c r="D85" s="113" t="s">
        <v>112</v>
      </c>
      <c r="E85" s="52"/>
      <c r="F85" s="54">
        <f>YEAR(F88)</f>
        <v>2014</v>
      </c>
      <c r="G85" s="54">
        <f t="shared" ref="G85:P85" si="1">YEAR(G88)</f>
        <v>2015</v>
      </c>
      <c r="H85" s="54">
        <f t="shared" si="1"/>
        <v>2016</v>
      </c>
      <c r="I85" s="54">
        <f t="shared" si="1"/>
        <v>2017</v>
      </c>
      <c r="J85" s="54">
        <f t="shared" si="1"/>
        <v>2018</v>
      </c>
      <c r="K85" s="54">
        <f t="shared" si="1"/>
        <v>2019</v>
      </c>
      <c r="L85" s="54">
        <f t="shared" si="1"/>
        <v>2020</v>
      </c>
      <c r="M85" s="54">
        <f t="shared" si="1"/>
        <v>2021</v>
      </c>
      <c r="N85" s="54">
        <f t="shared" si="1"/>
        <v>2022</v>
      </c>
      <c r="O85" s="54">
        <f t="shared" si="1"/>
        <v>2023</v>
      </c>
      <c r="P85" s="54">
        <f t="shared" si="1"/>
        <v>2024</v>
      </c>
      <c r="Q85" s="54">
        <f>YEAR(EOMONTH(P88,Months))</f>
        <v>2025</v>
      </c>
    </row>
    <row r="86" spans="2:17" x14ac:dyDescent="0.3">
      <c r="B86" s="4"/>
      <c r="C86" s="4"/>
      <c r="D86" s="3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2:17" x14ac:dyDescent="0.3">
      <c r="B87" s="32"/>
      <c r="C87" s="32"/>
      <c r="D87" s="33"/>
      <c r="E87" s="55"/>
      <c r="F87" s="34" t="str">
        <f>+$F$48</f>
        <v>Historical:</v>
      </c>
      <c r="G87" s="35" t="str">
        <f>+$G$48</f>
        <v>Projected:</v>
      </c>
      <c r="H87" s="36"/>
      <c r="I87" s="36"/>
      <c r="J87" s="36"/>
      <c r="K87" s="36"/>
      <c r="L87" s="36"/>
      <c r="M87" s="36"/>
      <c r="N87" s="36"/>
      <c r="O87" s="36"/>
      <c r="P87" s="36"/>
      <c r="Q87" s="70" t="str">
        <f>+$Q$48</f>
        <v>Stabilized</v>
      </c>
    </row>
    <row r="88" spans="2:17" x14ac:dyDescent="0.3">
      <c r="B88" s="5" t="s">
        <v>57</v>
      </c>
      <c r="C88" s="5"/>
      <c r="D88" s="6" t="str">
        <f>+$D$5</f>
        <v>Units:</v>
      </c>
      <c r="E88" s="56"/>
      <c r="F88" s="57">
        <f>+$F$49</f>
        <v>42004</v>
      </c>
      <c r="G88" s="38">
        <f>+$G$49</f>
        <v>42369</v>
      </c>
      <c r="H88" s="37">
        <f>+$H$49</f>
        <v>42735</v>
      </c>
      <c r="I88" s="37">
        <f>+$I$49</f>
        <v>43100</v>
      </c>
      <c r="J88" s="37">
        <f>+$J$49</f>
        <v>43465</v>
      </c>
      <c r="K88" s="37">
        <f>+$K$49</f>
        <v>43830</v>
      </c>
      <c r="L88" s="37">
        <f>+$L$49</f>
        <v>44196</v>
      </c>
      <c r="M88" s="37">
        <f>+$M$49</f>
        <v>44561</v>
      </c>
      <c r="N88" s="37">
        <f>+$N$49</f>
        <v>44926</v>
      </c>
      <c r="O88" s="37">
        <f>+$O$49</f>
        <v>45291</v>
      </c>
      <c r="P88" s="37">
        <f>+$P$49</f>
        <v>45657</v>
      </c>
      <c r="Q88" s="37" t="str">
        <f>+$Q$49</f>
        <v>Year:</v>
      </c>
    </row>
    <row r="89" spans="2:17" outlineLevel="1" x14ac:dyDescent="0.3">
      <c r="B89" s="4"/>
      <c r="C89" s="4"/>
      <c r="D89" s="3"/>
      <c r="E89" s="58"/>
      <c r="F89" s="58"/>
      <c r="G89" s="58"/>
      <c r="H89" s="50"/>
      <c r="I89" s="50"/>
      <c r="J89" s="50"/>
      <c r="K89" s="50"/>
      <c r="L89" s="50"/>
      <c r="M89" s="50"/>
      <c r="N89" s="50"/>
      <c r="O89" s="50"/>
      <c r="P89" s="50"/>
    </row>
    <row r="90" spans="2:17" outlineLevel="1" x14ac:dyDescent="0.3">
      <c r="B90" s="4"/>
      <c r="C90" s="148" t="str">
        <f ca="1">OFFSET($C$50,Scenario,0)</f>
        <v>Scenario #1 - Steady Growth</v>
      </c>
      <c r="D90" s="28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</row>
    <row r="91" spans="2:17" outlineLevel="1" x14ac:dyDescent="0.3">
      <c r="B91" s="4"/>
      <c r="C91" s="4"/>
      <c r="D91" s="3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</row>
    <row r="92" spans="2:17" outlineLevel="1" x14ac:dyDescent="0.3">
      <c r="B92" s="4"/>
      <c r="C92" s="25" t="s">
        <v>58</v>
      </c>
      <c r="D92" s="3"/>
      <c r="E92" s="50"/>
      <c r="F92" s="159"/>
      <c r="G92" s="50"/>
      <c r="H92" s="50"/>
      <c r="I92" s="50"/>
      <c r="J92" s="50"/>
      <c r="K92" s="50"/>
      <c r="L92" s="50"/>
      <c r="M92" s="50"/>
      <c r="N92" s="50"/>
      <c r="O92" s="50"/>
      <c r="P92" s="50"/>
    </row>
    <row r="93" spans="2:17" outlineLevel="1" x14ac:dyDescent="0.3">
      <c r="B93" s="4"/>
      <c r="C93" s="14" t="s">
        <v>96</v>
      </c>
      <c r="D93" s="12" t="s">
        <v>25</v>
      </c>
      <c r="E93" s="50"/>
      <c r="F93" s="59">
        <f>+Rentable_SF*Rent_per_SF*Months</f>
        <v>7066080</v>
      </c>
      <c r="G93" s="59">
        <f t="shared" ref="G93:Q93" ca="1" si="2">+F93*(1+OFFSET(G$56,ROWS(G$56:G$65)*(Scenario-1),0))</f>
        <v>7278062.4000000004</v>
      </c>
      <c r="H93" s="59">
        <f t="shared" ca="1" si="2"/>
        <v>7496404.2720000008</v>
      </c>
      <c r="I93" s="59">
        <f t="shared" ca="1" si="2"/>
        <v>7721296.4001600007</v>
      </c>
      <c r="J93" s="59">
        <f t="shared" ca="1" si="2"/>
        <v>7952935.2921648007</v>
      </c>
      <c r="K93" s="59">
        <f t="shared" ca="1" si="2"/>
        <v>8191523.3509297445</v>
      </c>
      <c r="L93" s="59">
        <f t="shared" ca="1" si="2"/>
        <v>8437269.0514576379</v>
      </c>
      <c r="M93" s="59">
        <f t="shared" ca="1" si="2"/>
        <v>8690387.1230013669</v>
      </c>
      <c r="N93" s="59">
        <f t="shared" ca="1" si="2"/>
        <v>8951098.7366914079</v>
      </c>
      <c r="O93" s="59">
        <f t="shared" ca="1" si="2"/>
        <v>9219631.6987921502</v>
      </c>
      <c r="P93" s="59">
        <f t="shared" ca="1" si="2"/>
        <v>9496220.6497559156</v>
      </c>
      <c r="Q93" s="59">
        <f t="shared" ca="1" si="2"/>
        <v>9781107.2692485936</v>
      </c>
    </row>
    <row r="94" spans="2:17" outlineLevel="1" x14ac:dyDescent="0.3">
      <c r="B94" s="4"/>
      <c r="C94" s="14" t="s">
        <v>10</v>
      </c>
      <c r="D94" s="12" t="s">
        <v>25</v>
      </c>
      <c r="E94" s="50"/>
      <c r="F94" s="60">
        <f>+Apt_Units*Other_Income_per_Unit*Months</f>
        <v>421200</v>
      </c>
      <c r="G94" s="50">
        <f t="shared" ref="G94:Q94" ca="1" si="3">+F94*(1+OFFSET(G$57,ROWS(G$56:G$65)*(Scenario-1),0))</f>
        <v>433836</v>
      </c>
      <c r="H94" s="50">
        <f t="shared" ca="1" si="3"/>
        <v>446851.08</v>
      </c>
      <c r="I94" s="50">
        <f t="shared" ca="1" si="3"/>
        <v>460256.61240000004</v>
      </c>
      <c r="J94" s="50">
        <f t="shared" ca="1" si="3"/>
        <v>474064.31077200006</v>
      </c>
      <c r="K94" s="50">
        <f t="shared" ca="1" si="3"/>
        <v>488286.24009516009</v>
      </c>
      <c r="L94" s="50">
        <f t="shared" ca="1" si="3"/>
        <v>502934.82729801489</v>
      </c>
      <c r="M94" s="50">
        <f t="shared" ca="1" si="3"/>
        <v>518022.87211695535</v>
      </c>
      <c r="N94" s="50">
        <f t="shared" ca="1" si="3"/>
        <v>533563.55828046403</v>
      </c>
      <c r="O94" s="50">
        <f t="shared" ca="1" si="3"/>
        <v>549570.46502887795</v>
      </c>
      <c r="P94" s="50">
        <f t="shared" ca="1" si="3"/>
        <v>566057.57897974434</v>
      </c>
      <c r="Q94" s="50">
        <f t="shared" ca="1" si="3"/>
        <v>583039.30634913663</v>
      </c>
    </row>
    <row r="95" spans="2:17" outlineLevel="1" x14ac:dyDescent="0.3">
      <c r="B95" s="4"/>
      <c r="C95" s="14" t="s">
        <v>59</v>
      </c>
      <c r="D95" s="61" t="s">
        <v>25</v>
      </c>
      <c r="E95" s="50"/>
      <c r="F95" s="50">
        <f>-Vacancy_Rate*(F93+F94)</f>
        <v>-374364</v>
      </c>
      <c r="G95" s="50">
        <f t="shared" ref="G95:Q95" ca="1" si="4">-OFFSET(G$58,ROWS(G$56:G$65)*(Scenario-1),0)*(G93+G94)</f>
        <v>-385594.92000000004</v>
      </c>
      <c r="H95" s="50">
        <f t="shared" ca="1" si="4"/>
        <v>-397162.76760000008</v>
      </c>
      <c r="I95" s="50">
        <f t="shared" ca="1" si="4"/>
        <v>-409077.65062800003</v>
      </c>
      <c r="J95" s="50">
        <f t="shared" ca="1" si="4"/>
        <v>-421349.98014684004</v>
      </c>
      <c r="K95" s="50">
        <f t="shared" ca="1" si="4"/>
        <v>-433990.47955124528</v>
      </c>
      <c r="L95" s="50">
        <f t="shared" ca="1" si="4"/>
        <v>-447010.19393778266</v>
      </c>
      <c r="M95" s="50">
        <f t="shared" ca="1" si="4"/>
        <v>-460420.49975591613</v>
      </c>
      <c r="N95" s="50">
        <f t="shared" ca="1" si="4"/>
        <v>-474233.11474859365</v>
      </c>
      <c r="O95" s="50">
        <f t="shared" ca="1" si="4"/>
        <v>-488460.10819105146</v>
      </c>
      <c r="P95" s="50">
        <f t="shared" ca="1" si="4"/>
        <v>-503113.91143678298</v>
      </c>
      <c r="Q95" s="50">
        <f t="shared" ca="1" si="4"/>
        <v>-518207.32877988648</v>
      </c>
    </row>
    <row r="96" spans="2:17" outlineLevel="1" x14ac:dyDescent="0.3">
      <c r="B96" s="4"/>
      <c r="C96" s="62" t="s">
        <v>60</v>
      </c>
      <c r="D96" s="12" t="s">
        <v>25</v>
      </c>
      <c r="E96" s="58"/>
      <c r="F96" s="51">
        <f t="shared" ref="F96:Q96" si="5">SUM(F93:F95)</f>
        <v>7112916</v>
      </c>
      <c r="G96" s="51">
        <f t="shared" ca="1" si="5"/>
        <v>7326303.4800000004</v>
      </c>
      <c r="H96" s="51">
        <f t="shared" ca="1" si="5"/>
        <v>7546092.584400001</v>
      </c>
      <c r="I96" s="51">
        <f t="shared" ca="1" si="5"/>
        <v>7772475.3619320001</v>
      </c>
      <c r="J96" s="51">
        <f t="shared" ca="1" si="5"/>
        <v>8005649.6227899604</v>
      </c>
      <c r="K96" s="51">
        <f t="shared" ca="1" si="5"/>
        <v>8245819.11147366</v>
      </c>
      <c r="L96" s="51">
        <f t="shared" ca="1" si="5"/>
        <v>8493193.6848178711</v>
      </c>
      <c r="M96" s="51">
        <f t="shared" ca="1" si="5"/>
        <v>8747989.4953624066</v>
      </c>
      <c r="N96" s="51">
        <f t="shared" ca="1" si="5"/>
        <v>9010429.1802232787</v>
      </c>
      <c r="O96" s="51">
        <f t="shared" ca="1" si="5"/>
        <v>9280742.055629978</v>
      </c>
      <c r="P96" s="51">
        <f t="shared" ca="1" si="5"/>
        <v>9559164.3172988761</v>
      </c>
      <c r="Q96" s="51">
        <f t="shared" ca="1" si="5"/>
        <v>9845939.2468178421</v>
      </c>
    </row>
    <row r="97" spans="2:17" outlineLevel="1" x14ac:dyDescent="0.3">
      <c r="B97" s="4"/>
      <c r="C97" s="4"/>
      <c r="D97" s="3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</row>
    <row r="98" spans="2:17" outlineLevel="1" x14ac:dyDescent="0.3">
      <c r="B98" s="4"/>
      <c r="C98" s="25" t="s">
        <v>61</v>
      </c>
      <c r="D98" s="3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</row>
    <row r="99" spans="2:17" outlineLevel="1" x14ac:dyDescent="0.3">
      <c r="B99" s="4"/>
      <c r="C99" s="14" t="s">
        <v>62</v>
      </c>
      <c r="D99" s="12" t="s">
        <v>25</v>
      </c>
      <c r="E99" s="50"/>
      <c r="F99" s="50">
        <f>-Apt_Units*OpEx_per_Unit</f>
        <v>-772200</v>
      </c>
      <c r="G99" s="50">
        <f t="shared" ref="G99:Q99" ca="1" si="6">+F99*(1+OFFSET(G$59,ROWS(G$56:G$65)*(Scenario-1),0))</f>
        <v>-795366</v>
      </c>
      <c r="H99" s="50">
        <f t="shared" ca="1" si="6"/>
        <v>-819226.98</v>
      </c>
      <c r="I99" s="50">
        <f t="shared" ca="1" si="6"/>
        <v>-843803.78940000001</v>
      </c>
      <c r="J99" s="50">
        <f t="shared" ca="1" si="6"/>
        <v>-869117.90308199998</v>
      </c>
      <c r="K99" s="50">
        <f t="shared" ca="1" si="6"/>
        <v>-895191.44017445995</v>
      </c>
      <c r="L99" s="50">
        <f t="shared" ca="1" si="6"/>
        <v>-922047.18337969377</v>
      </c>
      <c r="M99" s="50">
        <f t="shared" ca="1" si="6"/>
        <v>-949708.59888108459</v>
      </c>
      <c r="N99" s="50">
        <f t="shared" ca="1" si="6"/>
        <v>-978199.85684751719</v>
      </c>
      <c r="O99" s="50">
        <f t="shared" ca="1" si="6"/>
        <v>-1007545.8525529427</v>
      </c>
      <c r="P99" s="50">
        <f t="shared" ca="1" si="6"/>
        <v>-1037772.228129531</v>
      </c>
      <c r="Q99" s="50">
        <f t="shared" ca="1" si="6"/>
        <v>-1068905.394973417</v>
      </c>
    </row>
    <row r="100" spans="2:17" outlineLevel="1" x14ac:dyDescent="0.3">
      <c r="B100" s="4"/>
      <c r="C100" s="14" t="s">
        <v>63</v>
      </c>
      <c r="D100" s="12" t="s">
        <v>25</v>
      </c>
      <c r="E100" s="50"/>
      <c r="F100" s="50">
        <f>-Rentable_SF*RE_Taxes_per_SF*Months</f>
        <v>-670374</v>
      </c>
      <c r="G100" s="50">
        <f t="shared" ref="G100:Q100" si="7">+F100*(1+RE_Taxes_Growth_Rate)</f>
        <v>-690485.22</v>
      </c>
      <c r="H100" s="50">
        <f t="shared" si="7"/>
        <v>-711199.77659999998</v>
      </c>
      <c r="I100" s="50">
        <f t="shared" si="7"/>
        <v>-732535.76989800006</v>
      </c>
      <c r="J100" s="50">
        <f t="shared" si="7"/>
        <v>-754511.84299494012</v>
      </c>
      <c r="K100" s="50">
        <f t="shared" si="7"/>
        <v>-777147.19828478829</v>
      </c>
      <c r="L100" s="50">
        <f t="shared" si="7"/>
        <v>-800461.61423333199</v>
      </c>
      <c r="M100" s="50">
        <f t="shared" si="7"/>
        <v>-824475.46266033198</v>
      </c>
      <c r="N100" s="50">
        <f t="shared" si="7"/>
        <v>-849209.72654014197</v>
      </c>
      <c r="O100" s="50">
        <f t="shared" si="7"/>
        <v>-874686.01833634626</v>
      </c>
      <c r="P100" s="50">
        <f t="shared" si="7"/>
        <v>-900926.59888643667</v>
      </c>
      <c r="Q100" s="50">
        <f t="shared" si="7"/>
        <v>-927954.39685302984</v>
      </c>
    </row>
    <row r="101" spans="2:17" outlineLevel="1" x14ac:dyDescent="0.3">
      <c r="B101" s="4"/>
      <c r="C101" s="14" t="s">
        <v>64</v>
      </c>
      <c r="D101" s="61" t="s">
        <v>25</v>
      </c>
      <c r="E101" s="50"/>
      <c r="F101" s="50">
        <f>-Apt_Units*Reserve_per_Unit</f>
        <v>-351000</v>
      </c>
      <c r="G101" s="50">
        <f t="shared" ref="G101:Q101" ca="1" si="8">+F101*(1+OFFSET(G$60,ROWS(G$56:G$65)*(Scenario-1),0))</f>
        <v>-361530</v>
      </c>
      <c r="H101" s="50">
        <f t="shared" ca="1" si="8"/>
        <v>-372375.9</v>
      </c>
      <c r="I101" s="50">
        <f t="shared" ca="1" si="8"/>
        <v>-383547.17700000003</v>
      </c>
      <c r="J101" s="50">
        <f t="shared" ca="1" si="8"/>
        <v>-395053.59231000004</v>
      </c>
      <c r="K101" s="50">
        <f t="shared" ca="1" si="8"/>
        <v>-406905.20007930003</v>
      </c>
      <c r="L101" s="50">
        <f t="shared" ca="1" si="8"/>
        <v>-419112.35608167906</v>
      </c>
      <c r="M101" s="50">
        <f t="shared" ca="1" si="8"/>
        <v>-431685.72676412942</v>
      </c>
      <c r="N101" s="50">
        <f t="shared" ca="1" si="8"/>
        <v>-444636.29856705334</v>
      </c>
      <c r="O101" s="50">
        <f t="shared" ca="1" si="8"/>
        <v>-457975.38752406492</v>
      </c>
      <c r="P101" s="50">
        <f t="shared" ca="1" si="8"/>
        <v>-471714.64914978686</v>
      </c>
      <c r="Q101" s="50">
        <f t="shared" ca="1" si="8"/>
        <v>-485866.08862428047</v>
      </c>
    </row>
    <row r="102" spans="2:17" outlineLevel="1" x14ac:dyDescent="0.3">
      <c r="B102" s="4"/>
      <c r="C102" s="62" t="s">
        <v>65</v>
      </c>
      <c r="D102" s="12" t="s">
        <v>25</v>
      </c>
      <c r="E102" s="58"/>
      <c r="F102" s="51">
        <f t="shared" ref="F102:Q102" si="9">SUM(F99:F101)</f>
        <v>-1793574</v>
      </c>
      <c r="G102" s="51">
        <f t="shared" ca="1" si="9"/>
        <v>-1847381.22</v>
      </c>
      <c r="H102" s="51">
        <f t="shared" ca="1" si="9"/>
        <v>-1902802.6565999999</v>
      </c>
      <c r="I102" s="51">
        <f t="shared" ca="1" si="9"/>
        <v>-1959886.736298</v>
      </c>
      <c r="J102" s="51">
        <f t="shared" ca="1" si="9"/>
        <v>-2018683.3383869401</v>
      </c>
      <c r="K102" s="51">
        <f t="shared" ca="1" si="9"/>
        <v>-2079243.8385385482</v>
      </c>
      <c r="L102" s="51">
        <f t="shared" ca="1" si="9"/>
        <v>-2141621.1536947046</v>
      </c>
      <c r="M102" s="51">
        <f t="shared" ca="1" si="9"/>
        <v>-2205869.7883055462</v>
      </c>
      <c r="N102" s="51">
        <f t="shared" ca="1" si="9"/>
        <v>-2272045.8819547123</v>
      </c>
      <c r="O102" s="51">
        <f t="shared" ca="1" si="9"/>
        <v>-2340207.2584133539</v>
      </c>
      <c r="P102" s="51">
        <f t="shared" ca="1" si="9"/>
        <v>-2410413.4761657543</v>
      </c>
      <c r="Q102" s="51">
        <f t="shared" ca="1" si="9"/>
        <v>-2482725.8804507274</v>
      </c>
    </row>
    <row r="103" spans="2:17" outlineLevel="1" x14ac:dyDescent="0.3">
      <c r="B103" s="4"/>
      <c r="C103" s="4"/>
      <c r="D103" s="3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</row>
    <row r="104" spans="2:17" outlineLevel="1" x14ac:dyDescent="0.3">
      <c r="B104" s="4"/>
      <c r="C104" s="25" t="s">
        <v>66</v>
      </c>
      <c r="D104" s="12" t="s">
        <v>25</v>
      </c>
      <c r="E104" s="50"/>
      <c r="F104" s="63">
        <f t="shared" ref="F104:Q104" si="10">+F96+F102</f>
        <v>5319342</v>
      </c>
      <c r="G104" s="63">
        <f t="shared" ca="1" si="10"/>
        <v>5478922.2600000007</v>
      </c>
      <c r="H104" s="63">
        <f t="shared" ca="1" si="10"/>
        <v>5643289.9278000016</v>
      </c>
      <c r="I104" s="63">
        <f t="shared" ca="1" si="10"/>
        <v>5812588.6256339997</v>
      </c>
      <c r="J104" s="63">
        <f t="shared" ca="1" si="10"/>
        <v>5986966.2844030205</v>
      </c>
      <c r="K104" s="63">
        <f t="shared" ca="1" si="10"/>
        <v>6166575.272935112</v>
      </c>
      <c r="L104" s="63">
        <f t="shared" ca="1" si="10"/>
        <v>6351572.5311231669</v>
      </c>
      <c r="M104" s="63">
        <f t="shared" ca="1" si="10"/>
        <v>6542119.7070568604</v>
      </c>
      <c r="N104" s="63">
        <f t="shared" ca="1" si="10"/>
        <v>6738383.2982685659</v>
      </c>
      <c r="O104" s="63">
        <f t="shared" ca="1" si="10"/>
        <v>6940534.797216624</v>
      </c>
      <c r="P104" s="63">
        <f t="shared" ca="1" si="10"/>
        <v>7148750.8411331214</v>
      </c>
      <c r="Q104" s="63">
        <f t="shared" ca="1" si="10"/>
        <v>7363213.3663671147</v>
      </c>
    </row>
    <row r="105" spans="2:17" outlineLevel="1" x14ac:dyDescent="0.3">
      <c r="B105" s="4"/>
      <c r="C105" s="64" t="s">
        <v>67</v>
      </c>
      <c r="D105" s="12" t="s">
        <v>13</v>
      </c>
      <c r="E105" s="50"/>
      <c r="F105" s="49">
        <f t="shared" ref="F105:Q105" si="11">+F104/F96</f>
        <v>0.74784265693563656</v>
      </c>
      <c r="G105" s="49">
        <f t="shared" ca="1" si="11"/>
        <v>0.74784265693563656</v>
      </c>
      <c r="H105" s="49">
        <f t="shared" ca="1" si="11"/>
        <v>0.74784265693563667</v>
      </c>
      <c r="I105" s="49">
        <f t="shared" ca="1" si="11"/>
        <v>0.74784265693563645</v>
      </c>
      <c r="J105" s="49">
        <f t="shared" ca="1" si="11"/>
        <v>0.74784265693563656</v>
      </c>
      <c r="K105" s="49">
        <f t="shared" ca="1" si="11"/>
        <v>0.74784265693563656</v>
      </c>
      <c r="L105" s="49">
        <f t="shared" ca="1" si="11"/>
        <v>0.74784265693563667</v>
      </c>
      <c r="M105" s="49">
        <f t="shared" ca="1" si="11"/>
        <v>0.74784265693563656</v>
      </c>
      <c r="N105" s="49">
        <f t="shared" ca="1" si="11"/>
        <v>0.74784265693563656</v>
      </c>
      <c r="O105" s="49">
        <f t="shared" ca="1" si="11"/>
        <v>0.74784265693563656</v>
      </c>
      <c r="P105" s="49">
        <f t="shared" ca="1" si="11"/>
        <v>0.74784265693563656</v>
      </c>
      <c r="Q105" s="49">
        <f t="shared" ca="1" si="11"/>
        <v>0.74784265693563645</v>
      </c>
    </row>
    <row r="106" spans="2:17" outlineLevel="1" x14ac:dyDescent="0.3">
      <c r="B106" s="4"/>
      <c r="C106" s="4"/>
      <c r="D106" s="3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</row>
    <row r="107" spans="2:17" outlineLevel="1" x14ac:dyDescent="0.3">
      <c r="B107" s="4"/>
      <c r="C107" s="14" t="s">
        <v>68</v>
      </c>
      <c r="D107" s="12" t="s">
        <v>25</v>
      </c>
      <c r="E107" s="50"/>
      <c r="F107" s="50">
        <f>-Apt_Units*CapEx_per_Unit</f>
        <v>-468000</v>
      </c>
      <c r="G107" s="50">
        <f t="shared" ref="G107:Q107" ca="1" si="12">+F107*(1+OFFSET(G$61,ROWS(G$56:G$65)*(Scenario-1),0))</f>
        <v>-477360</v>
      </c>
      <c r="H107" s="50">
        <f t="shared" ca="1" si="12"/>
        <v>-486907.2</v>
      </c>
      <c r="I107" s="50">
        <f t="shared" ca="1" si="12"/>
        <v>-496645.34400000004</v>
      </c>
      <c r="J107" s="50">
        <f t="shared" ca="1" si="12"/>
        <v>-506578.25088000007</v>
      </c>
      <c r="K107" s="50">
        <f t="shared" ca="1" si="12"/>
        <v>-516709.81589760009</v>
      </c>
      <c r="L107" s="50">
        <f t="shared" ca="1" si="12"/>
        <v>-527044.01221555215</v>
      </c>
      <c r="M107" s="50">
        <f t="shared" ca="1" si="12"/>
        <v>-537584.89245986321</v>
      </c>
      <c r="N107" s="50">
        <f t="shared" ca="1" si="12"/>
        <v>-548336.59030906053</v>
      </c>
      <c r="O107" s="50">
        <f t="shared" ca="1" si="12"/>
        <v>-559303.32211524178</v>
      </c>
      <c r="P107" s="50">
        <f t="shared" ca="1" si="12"/>
        <v>-570489.38855754666</v>
      </c>
      <c r="Q107" s="50">
        <f t="shared" ca="1" si="12"/>
        <v>-581899.17632869759</v>
      </c>
    </row>
    <row r="108" spans="2:17" outlineLevel="1" x14ac:dyDescent="0.3">
      <c r="B108" s="4"/>
      <c r="C108" s="14" t="s">
        <v>69</v>
      </c>
      <c r="D108" s="12" t="s">
        <v>25</v>
      </c>
      <c r="E108" s="50"/>
      <c r="F108" s="50">
        <f>-Apt_Units*TIs_per_Unit</f>
        <v>-187200</v>
      </c>
      <c r="G108" s="50">
        <f t="shared" ref="G108:Q108" ca="1" si="13">+F108*(1+OFFSET(G$62,ROWS(G$56:G$65)*(Scenario-1),0))</f>
        <v>-190944</v>
      </c>
      <c r="H108" s="50">
        <f t="shared" ca="1" si="13"/>
        <v>-194762.88</v>
      </c>
      <c r="I108" s="50">
        <f t="shared" ca="1" si="13"/>
        <v>-198658.13760000002</v>
      </c>
      <c r="J108" s="50">
        <f t="shared" ca="1" si="13"/>
        <v>-202631.30035200002</v>
      </c>
      <c r="K108" s="50">
        <f t="shared" ca="1" si="13"/>
        <v>-206683.92635904002</v>
      </c>
      <c r="L108" s="50">
        <f t="shared" ca="1" si="13"/>
        <v>-210817.60488622083</v>
      </c>
      <c r="M108" s="50">
        <f t="shared" ca="1" si="13"/>
        <v>-215033.95698394525</v>
      </c>
      <c r="N108" s="50">
        <f t="shared" ca="1" si="13"/>
        <v>-219334.63612362416</v>
      </c>
      <c r="O108" s="50">
        <f t="shared" ca="1" si="13"/>
        <v>-223721.32884609664</v>
      </c>
      <c r="P108" s="50">
        <f t="shared" ca="1" si="13"/>
        <v>-228195.75542301859</v>
      </c>
      <c r="Q108" s="50">
        <f t="shared" ca="1" si="13"/>
        <v>-232759.67053147897</v>
      </c>
    </row>
    <row r="109" spans="2:17" outlineLevel="1" x14ac:dyDescent="0.3">
      <c r="B109" s="4"/>
      <c r="C109" s="14" t="s">
        <v>70</v>
      </c>
      <c r="D109" s="12" t="s">
        <v>25</v>
      </c>
      <c r="E109" s="50"/>
      <c r="F109" s="50">
        <f>-Apt_Units*LCs_per_Unit</f>
        <v>-140400</v>
      </c>
      <c r="G109" s="50">
        <f t="shared" ref="G109:Q109" ca="1" si="14">+F109*(1+OFFSET(G$63,ROWS(G$56:G$65)*(Scenario-1),0))</f>
        <v>-143208</v>
      </c>
      <c r="H109" s="50">
        <f t="shared" ca="1" si="14"/>
        <v>-146072.16</v>
      </c>
      <c r="I109" s="50">
        <f t="shared" ca="1" si="14"/>
        <v>-148993.60320000001</v>
      </c>
      <c r="J109" s="50">
        <f t="shared" ca="1" si="14"/>
        <v>-151973.47526400001</v>
      </c>
      <c r="K109" s="50">
        <f t="shared" ca="1" si="14"/>
        <v>-155012.94476928</v>
      </c>
      <c r="L109" s="50">
        <f t="shared" ca="1" si="14"/>
        <v>-158113.20366466561</v>
      </c>
      <c r="M109" s="50">
        <f t="shared" ca="1" si="14"/>
        <v>-161275.46773795891</v>
      </c>
      <c r="N109" s="50">
        <f t="shared" ca="1" si="14"/>
        <v>-164500.97709271809</v>
      </c>
      <c r="O109" s="50">
        <f t="shared" ca="1" si="14"/>
        <v>-167790.99663457245</v>
      </c>
      <c r="P109" s="50">
        <f t="shared" ca="1" si="14"/>
        <v>-171146.81656726392</v>
      </c>
      <c r="Q109" s="50">
        <f t="shared" ca="1" si="14"/>
        <v>-174569.75289860921</v>
      </c>
    </row>
    <row r="110" spans="2:17" outlineLevel="1" x14ac:dyDescent="0.3">
      <c r="B110" s="4"/>
      <c r="C110" s="4"/>
      <c r="D110" s="3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</row>
    <row r="111" spans="2:17" outlineLevel="1" x14ac:dyDescent="0.3">
      <c r="B111" s="4"/>
      <c r="C111" s="25" t="s">
        <v>71</v>
      </c>
      <c r="D111" s="12" t="s">
        <v>25</v>
      </c>
      <c r="E111" s="50"/>
      <c r="F111" s="63">
        <f t="shared" ref="F111:Q111" si="15">+F104+SUM(F107:F109)</f>
        <v>4523742</v>
      </c>
      <c r="G111" s="63">
        <f t="shared" ca="1" si="15"/>
        <v>4667410.2600000007</v>
      </c>
      <c r="H111" s="63">
        <f t="shared" ca="1" si="15"/>
        <v>4815547.6878000014</v>
      </c>
      <c r="I111" s="63">
        <f t="shared" ca="1" si="15"/>
        <v>4968291.5408339994</v>
      </c>
      <c r="J111" s="63">
        <f t="shared" ca="1" si="15"/>
        <v>5125783.2579070199</v>
      </c>
      <c r="K111" s="63">
        <f t="shared" ca="1" si="15"/>
        <v>5288168.5859091915</v>
      </c>
      <c r="L111" s="63">
        <f t="shared" ca="1" si="15"/>
        <v>5455597.7103567282</v>
      </c>
      <c r="M111" s="63">
        <f t="shared" ca="1" si="15"/>
        <v>5628225.3898750935</v>
      </c>
      <c r="N111" s="63">
        <f t="shared" ca="1" si="15"/>
        <v>5806211.0947431633</v>
      </c>
      <c r="O111" s="63">
        <f t="shared" ca="1" si="15"/>
        <v>5989719.1496207137</v>
      </c>
      <c r="P111" s="63">
        <f t="shared" ca="1" si="15"/>
        <v>6178918.8805852924</v>
      </c>
      <c r="Q111" s="63">
        <f t="shared" ca="1" si="15"/>
        <v>6373984.7666083295</v>
      </c>
    </row>
    <row r="112" spans="2:17" outlineLevel="1" x14ac:dyDescent="0.3">
      <c r="B112" s="4"/>
      <c r="C112" s="77" t="s">
        <v>95</v>
      </c>
      <c r="D112" s="12" t="s">
        <v>13</v>
      </c>
      <c r="E112" s="50"/>
      <c r="F112" s="49">
        <f t="shared" ref="F112:Q112" si="16">+F111/F96</f>
        <v>0.63598979658975308</v>
      </c>
      <c r="G112" s="49">
        <f t="shared" ca="1" si="16"/>
        <v>0.63707574669019862</v>
      </c>
      <c r="H112" s="49">
        <f t="shared" ca="1" si="16"/>
        <v>0.63815115358578545</v>
      </c>
      <c r="I112" s="49">
        <f t="shared" ca="1" si="16"/>
        <v>0.63921611963772551</v>
      </c>
      <c r="J112" s="49">
        <f t="shared" ca="1" si="16"/>
        <v>0.64027074621343349</v>
      </c>
      <c r="K112" s="49">
        <f t="shared" ca="1" si="16"/>
        <v>0.64131513369617332</v>
      </c>
      <c r="L112" s="49">
        <f t="shared" ca="1" si="16"/>
        <v>0.64234938149461485</v>
      </c>
      <c r="M112" s="49">
        <f t="shared" ca="1" si="16"/>
        <v>0.64337358805229461</v>
      </c>
      <c r="N112" s="49">
        <f t="shared" ca="1" si="16"/>
        <v>0.64438785085698713</v>
      </c>
      <c r="O112" s="49">
        <f t="shared" ca="1" si="16"/>
        <v>0.64539226644998382</v>
      </c>
      <c r="P112" s="49">
        <f t="shared" ca="1" si="16"/>
        <v>0.64638693043528139</v>
      </c>
      <c r="Q112" s="49">
        <f t="shared" ca="1" si="16"/>
        <v>0.64737193748868282</v>
      </c>
    </row>
    <row r="113" spans="2:16" outlineLevel="1" x14ac:dyDescent="0.3">
      <c r="B113" s="4"/>
      <c r="C113" s="4"/>
      <c r="D113" s="3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</row>
    <row r="114" spans="2:16" outlineLevel="1" x14ac:dyDescent="0.3">
      <c r="B114" s="4"/>
      <c r="C114" s="4" t="s">
        <v>72</v>
      </c>
      <c r="D114" s="12" t="s">
        <v>25</v>
      </c>
      <c r="E114" s="50"/>
      <c r="F114" s="50"/>
      <c r="G114" s="50">
        <f t="shared" ref="G114:P114" si="17">IPMT(Loan_Interest_Rate,G85-$F85,Loan_Amort_Period,$E$43)</f>
        <v>-3360000</v>
      </c>
      <c r="H114" s="50">
        <f t="shared" si="17"/>
        <v>-3300090.8669108981</v>
      </c>
      <c r="I114" s="50">
        <f t="shared" si="17"/>
        <v>-3237785.3684982317</v>
      </c>
      <c r="J114" s="50">
        <f t="shared" si="17"/>
        <v>-3172987.6501490586</v>
      </c>
      <c r="K114" s="50">
        <f t="shared" si="17"/>
        <v>-3105598.0230659195</v>
      </c>
      <c r="L114" s="50">
        <f t="shared" si="17"/>
        <v>-3035512.8108994546</v>
      </c>
      <c r="M114" s="50">
        <f t="shared" si="17"/>
        <v>-2962624.1902463301</v>
      </c>
      <c r="N114" s="50">
        <f t="shared" si="17"/>
        <v>-2886820.0247670813</v>
      </c>
      <c r="O114" s="50">
        <f t="shared" si="17"/>
        <v>-2807983.6926686619</v>
      </c>
      <c r="P114" s="50">
        <f t="shared" si="17"/>
        <v>-2725993.9072863073</v>
      </c>
    </row>
    <row r="115" spans="2:16" outlineLevel="1" x14ac:dyDescent="0.3">
      <c r="B115" s="4"/>
      <c r="C115" s="4" t="s">
        <v>73</v>
      </c>
      <c r="D115" s="12" t="s">
        <v>25</v>
      </c>
      <c r="E115" s="50"/>
      <c r="F115" s="50"/>
      <c r="G115" s="50">
        <f t="shared" ref="G115:P115" si="18">PPMT(Loan_Interest_Rate,G85-$F85,Loan_Amort_Period,$E$43)</f>
        <v>-1497728.3272275527</v>
      </c>
      <c r="H115" s="50">
        <f t="shared" si="18"/>
        <v>-1557637.4603166541</v>
      </c>
      <c r="I115" s="50">
        <f t="shared" si="18"/>
        <v>-1619942.9587293204</v>
      </c>
      <c r="J115" s="50">
        <f t="shared" si="18"/>
        <v>-1684740.6770784932</v>
      </c>
      <c r="K115" s="50">
        <f t="shared" si="18"/>
        <v>-1752130.3041616329</v>
      </c>
      <c r="L115" s="50">
        <f t="shared" si="18"/>
        <v>-1822215.5163280985</v>
      </c>
      <c r="M115" s="50">
        <f t="shared" si="18"/>
        <v>-1895104.1369812223</v>
      </c>
      <c r="N115" s="50">
        <f t="shared" si="18"/>
        <v>-1970908.3024604714</v>
      </c>
      <c r="O115" s="50">
        <f t="shared" si="18"/>
        <v>-2049744.63455889</v>
      </c>
      <c r="P115" s="50">
        <f t="shared" si="18"/>
        <v>-2131734.4199412456</v>
      </c>
    </row>
    <row r="116" spans="2:16" outlineLevel="1" x14ac:dyDescent="0.3">
      <c r="G116" s="78"/>
      <c r="H116" s="78"/>
      <c r="I116" s="78"/>
      <c r="J116" s="78"/>
    </row>
    <row r="117" spans="2:16" outlineLevel="1" x14ac:dyDescent="0.3">
      <c r="C117" s="109" t="s">
        <v>74</v>
      </c>
      <c r="D117" s="12" t="s">
        <v>25</v>
      </c>
      <c r="F117" s="78"/>
      <c r="G117" s="114">
        <f t="shared" ref="G117:P117" ca="1" si="19">+G111+G114+G115</f>
        <v>-190318.06722755195</v>
      </c>
      <c r="H117" s="114">
        <f t="shared" ca="1" si="19"/>
        <v>-42180.639427550836</v>
      </c>
      <c r="I117" s="114">
        <f t="shared" ca="1" si="19"/>
        <v>110563.21360644721</v>
      </c>
      <c r="J117" s="114">
        <f t="shared" ca="1" si="19"/>
        <v>268054.93067946821</v>
      </c>
      <c r="K117" s="114">
        <f t="shared" ca="1" si="19"/>
        <v>430440.2586816391</v>
      </c>
      <c r="L117" s="114">
        <f t="shared" ca="1" si="19"/>
        <v>597869.38312917505</v>
      </c>
      <c r="M117" s="114">
        <f t="shared" ca="1" si="19"/>
        <v>770497.06264754105</v>
      </c>
      <c r="N117" s="114">
        <f t="shared" ca="1" si="19"/>
        <v>948482.76751561067</v>
      </c>
      <c r="O117" s="114">
        <f t="shared" ca="1" si="19"/>
        <v>1131990.8223931617</v>
      </c>
      <c r="P117" s="114">
        <f t="shared" ca="1" si="19"/>
        <v>1321190.5533577395</v>
      </c>
    </row>
    <row r="118" spans="2:16" outlineLevel="1" x14ac:dyDescent="0.3"/>
    <row r="119" spans="2:16" outlineLevel="1" x14ac:dyDescent="0.3">
      <c r="B119" s="4"/>
      <c r="C119" s="65" t="s">
        <v>122</v>
      </c>
      <c r="D119" s="12" t="s">
        <v>25</v>
      </c>
      <c r="E119" s="4"/>
      <c r="F119" s="67">
        <f>+E43</f>
        <v>84000000</v>
      </c>
      <c r="G119" s="67">
        <f>+F119+G115</f>
        <v>82502271.672772452</v>
      </c>
      <c r="H119" s="67">
        <f t="shared" ref="H119:P119" si="20">+G119+H115</f>
        <v>80944634.212455794</v>
      </c>
      <c r="I119" s="67">
        <f t="shared" si="20"/>
        <v>79324691.253726467</v>
      </c>
      <c r="J119" s="67">
        <f t="shared" si="20"/>
        <v>77639950.576647967</v>
      </c>
      <c r="K119" s="67">
        <f t="shared" si="20"/>
        <v>75887820.272486329</v>
      </c>
      <c r="L119" s="67">
        <f t="shared" si="20"/>
        <v>74065604.756158233</v>
      </c>
      <c r="M119" s="67">
        <f t="shared" si="20"/>
        <v>72170500.619177014</v>
      </c>
      <c r="N119" s="67">
        <f t="shared" si="20"/>
        <v>70199592.316716537</v>
      </c>
      <c r="O119" s="67">
        <f t="shared" si="20"/>
        <v>68149847.682157651</v>
      </c>
      <c r="P119" s="67">
        <f t="shared" si="20"/>
        <v>66018113.262216404</v>
      </c>
    </row>
    <row r="120" spans="2:16" outlineLevel="1" x14ac:dyDescent="0.3">
      <c r="B120" s="4"/>
      <c r="C120" s="4"/>
      <c r="D120" s="3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2:16" outlineLevel="1" x14ac:dyDescent="0.3">
      <c r="B121" s="4"/>
      <c r="C121" s="75" t="s">
        <v>125</v>
      </c>
      <c r="D121" s="12" t="s">
        <v>77</v>
      </c>
      <c r="E121" s="4"/>
      <c r="F121" s="4"/>
      <c r="G121" s="115">
        <f t="shared" ref="G121:P121" ca="1" si="21">-G104/G114</f>
        <v>1.6306316250000001</v>
      </c>
      <c r="H121" s="115">
        <f t="shared" ca="1" si="21"/>
        <v>1.7100407702053646</v>
      </c>
      <c r="I121" s="115">
        <f t="shared" ca="1" si="21"/>
        <v>1.7952359295298279</v>
      </c>
      <c r="J121" s="115">
        <f t="shared" ca="1" si="21"/>
        <v>1.8868545813979984</v>
      </c>
      <c r="K121" s="115">
        <f t="shared" ca="1" si="21"/>
        <v>1.9856321478615973</v>
      </c>
      <c r="L121" s="115">
        <f t="shared" ca="1" si="21"/>
        <v>2.0924215863352358</v>
      </c>
      <c r="M121" s="115">
        <f t="shared" ca="1" si="21"/>
        <v>2.208217879471547</v>
      </c>
      <c r="N121" s="115">
        <f t="shared" ca="1" si="21"/>
        <v>2.3341889139113348</v>
      </c>
      <c r="O121" s="115">
        <f t="shared" ca="1" si="21"/>
        <v>2.4717147807295321</v>
      </c>
      <c r="P121" s="115">
        <f t="shared" ca="1" si="21"/>
        <v>2.6224383048051685</v>
      </c>
    </row>
    <row r="122" spans="2:16" outlineLevel="1" x14ac:dyDescent="0.3">
      <c r="B122" s="4"/>
      <c r="C122" s="75" t="s">
        <v>126</v>
      </c>
      <c r="D122" s="12" t="s">
        <v>77</v>
      </c>
      <c r="E122" s="4"/>
      <c r="F122" s="4"/>
      <c r="G122" s="115">
        <f t="shared" ref="G122:P122" ca="1" si="22">-G111/G114</f>
        <v>1.3891101964285717</v>
      </c>
      <c r="H122" s="115">
        <f t="shared" ca="1" si="22"/>
        <v>1.4592166949353338</v>
      </c>
      <c r="I122" s="115">
        <f t="shared" ca="1" si="22"/>
        <v>1.5344721701359783</v>
      </c>
      <c r="J122" s="115">
        <f t="shared" ca="1" si="22"/>
        <v>1.6154438097690749</v>
      </c>
      <c r="K122" s="115">
        <f t="shared" ca="1" si="22"/>
        <v>1.7027859196949728</v>
      </c>
      <c r="L122" s="115">
        <f t="shared" ca="1" si="22"/>
        <v>1.7972573499830418</v>
      </c>
      <c r="M122" s="115">
        <f t="shared" ca="1" si="22"/>
        <v>1.8997432777348413</v>
      </c>
      <c r="N122" s="115">
        <f t="shared" ca="1" si="22"/>
        <v>2.0112826726049984</v>
      </c>
      <c r="O122" s="115">
        <f t="shared" ca="1" si="22"/>
        <v>2.1331032531489464</v>
      </c>
      <c r="P122" s="115">
        <f t="shared" ca="1" si="22"/>
        <v>2.2666664309372315</v>
      </c>
    </row>
    <row r="123" spans="2:16" outlineLevel="1" x14ac:dyDescent="0.3">
      <c r="B123" s="4"/>
      <c r="C123" s="4"/>
      <c r="D123" s="3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2:16" outlineLevel="1" x14ac:dyDescent="0.3">
      <c r="B124" s="4"/>
      <c r="C124" s="75" t="s">
        <v>124</v>
      </c>
      <c r="D124" s="12" t="s">
        <v>77</v>
      </c>
      <c r="E124" s="4"/>
      <c r="F124" s="4"/>
      <c r="G124" s="115">
        <f t="shared" ref="G124:P124" ca="1" si="23">-G104/(G114+G115)</f>
        <v>1.1278774544246655</v>
      </c>
      <c r="H124" s="115">
        <f t="shared" ca="1" si="23"/>
        <v>1.1617137780574056</v>
      </c>
      <c r="I124" s="115">
        <f t="shared" ca="1" si="23"/>
        <v>1.1965651913991275</v>
      </c>
      <c r="J124" s="115">
        <f t="shared" ca="1" si="23"/>
        <v>1.2324621471411017</v>
      </c>
      <c r="K124" s="115">
        <f t="shared" ca="1" si="23"/>
        <v>1.2694360115553347</v>
      </c>
      <c r="L124" s="115">
        <f t="shared" ca="1" si="23"/>
        <v>1.3075190919019948</v>
      </c>
      <c r="M124" s="115">
        <f t="shared" ca="1" si="23"/>
        <v>1.3467446646590546</v>
      </c>
      <c r="N124" s="115">
        <f t="shared" ca="1" si="23"/>
        <v>1.3871470045988261</v>
      </c>
      <c r="O124" s="115">
        <f t="shared" ca="1" si="23"/>
        <v>1.4287614147367915</v>
      </c>
      <c r="P124" s="115">
        <f t="shared" ca="1" si="23"/>
        <v>1.4716242571788944</v>
      </c>
    </row>
    <row r="125" spans="2:16" outlineLevel="1" x14ac:dyDescent="0.3">
      <c r="B125" s="4"/>
      <c r="C125" s="75" t="s">
        <v>127</v>
      </c>
      <c r="D125" s="12" t="s">
        <v>77</v>
      </c>
      <c r="E125" s="4"/>
      <c r="F125" s="4"/>
      <c r="G125" s="115">
        <f t="shared" ref="G125:P125" ca="1" si="24">-G111/(G114+G115)</f>
        <v>0.9608215909974176</v>
      </c>
      <c r="H125" s="115">
        <f t="shared" ca="1" si="24"/>
        <v>0.99131679736161271</v>
      </c>
      <c r="I125" s="115">
        <f t="shared" ca="1" si="24"/>
        <v>1.0227602710894186</v>
      </c>
      <c r="J125" s="115">
        <f t="shared" ca="1" si="24"/>
        <v>1.0551811284251986</v>
      </c>
      <c r="K125" s="115">
        <f t="shared" ca="1" si="24"/>
        <v>1.0886093724651136</v>
      </c>
      <c r="L125" s="115">
        <f t="shared" ca="1" si="24"/>
        <v>1.1230759200299694</v>
      </c>
      <c r="M125" s="115">
        <f t="shared" ca="1" si="24"/>
        <v>1.1586126293495886</v>
      </c>
      <c r="N125" s="115">
        <f t="shared" ca="1" si="24"/>
        <v>1.1952523285831709</v>
      </c>
      <c r="O125" s="115">
        <f t="shared" ca="1" si="24"/>
        <v>1.2330288452008231</v>
      </c>
      <c r="P125" s="115">
        <f t="shared" ca="1" si="24"/>
        <v>1.2719770362522065</v>
      </c>
    </row>
    <row r="126" spans="2:16" x14ac:dyDescent="0.3">
      <c r="B126" s="4"/>
      <c r="C126" s="4"/>
      <c r="D126" s="3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2:16" x14ac:dyDescent="0.3">
      <c r="B127" s="32"/>
      <c r="C127" s="32"/>
      <c r="D127" s="33"/>
      <c r="E127" s="32"/>
      <c r="F127" s="34" t="str">
        <f>+$F$48</f>
        <v>Historical:</v>
      </c>
      <c r="G127" s="35" t="str">
        <f>+$G$48</f>
        <v>Projected:</v>
      </c>
      <c r="H127" s="36"/>
      <c r="I127" s="36"/>
      <c r="J127" s="36"/>
      <c r="K127" s="36"/>
      <c r="L127" s="36"/>
      <c r="M127" s="36"/>
      <c r="N127" s="36"/>
      <c r="O127" s="36"/>
      <c r="P127" s="36"/>
    </row>
    <row r="128" spans="2:16" x14ac:dyDescent="0.3">
      <c r="B128" s="5" t="s">
        <v>82</v>
      </c>
      <c r="C128" s="5"/>
      <c r="D128" s="6" t="str">
        <f>+$D$5</f>
        <v>Units:</v>
      </c>
      <c r="E128" s="5"/>
      <c r="F128" s="57">
        <f>+$F$49</f>
        <v>42004</v>
      </c>
      <c r="G128" s="38">
        <f>+$G$49</f>
        <v>42369</v>
      </c>
      <c r="H128" s="37">
        <f>+$H$49</f>
        <v>42735</v>
      </c>
      <c r="I128" s="37">
        <f>+$I$49</f>
        <v>43100</v>
      </c>
      <c r="J128" s="37">
        <f>+$J$49</f>
        <v>43465</v>
      </c>
      <c r="K128" s="37">
        <f>+$K$49</f>
        <v>43830</v>
      </c>
      <c r="L128" s="37">
        <f>+$L$49</f>
        <v>44196</v>
      </c>
      <c r="M128" s="37">
        <f>+$M$49</f>
        <v>44561</v>
      </c>
      <c r="N128" s="37">
        <f>+$N$49</f>
        <v>44926</v>
      </c>
      <c r="O128" s="37">
        <f>+$O$49</f>
        <v>45291</v>
      </c>
      <c r="P128" s="37">
        <f>+$P$49</f>
        <v>45657</v>
      </c>
    </row>
    <row r="129" spans="2:16" outlineLevel="1" x14ac:dyDescent="0.3">
      <c r="B129" s="4"/>
      <c r="C129" s="4"/>
      <c r="D129" s="3"/>
      <c r="E129" s="4"/>
      <c r="F129" s="58"/>
      <c r="G129" s="58"/>
      <c r="H129" s="50"/>
      <c r="I129" s="50"/>
      <c r="J129" s="50"/>
      <c r="K129" s="50"/>
      <c r="L129" s="50"/>
      <c r="M129" s="50"/>
      <c r="N129" s="50"/>
      <c r="O129" s="50"/>
      <c r="P129" s="50"/>
    </row>
    <row r="130" spans="2:16" outlineLevel="1" x14ac:dyDescent="0.3">
      <c r="B130" s="4"/>
      <c r="C130" s="68" t="s">
        <v>133</v>
      </c>
      <c r="D130" s="3"/>
      <c r="E130" s="4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</row>
    <row r="131" spans="2:16" outlineLevel="1" x14ac:dyDescent="0.3">
      <c r="B131" s="4"/>
      <c r="C131" s="41" t="s">
        <v>75</v>
      </c>
      <c r="D131" s="12" t="s">
        <v>25</v>
      </c>
      <c r="E131" s="4"/>
      <c r="F131" s="50"/>
      <c r="G131" s="50">
        <f t="shared" ref="G131:O131" si="25">IF(G$85=YEAR(Sale_Date),Exit_Price*(1-Exit_Fee_Pct),0)</f>
        <v>0</v>
      </c>
      <c r="H131" s="50">
        <f t="shared" si="25"/>
        <v>0</v>
      </c>
      <c r="I131" s="50">
        <f t="shared" si="25"/>
        <v>0</v>
      </c>
      <c r="J131" s="50">
        <f t="shared" si="25"/>
        <v>0</v>
      </c>
      <c r="K131" s="50">
        <f t="shared" si="25"/>
        <v>0</v>
      </c>
      <c r="L131" s="50">
        <f t="shared" si="25"/>
        <v>0</v>
      </c>
      <c r="M131" s="50">
        <f t="shared" si="25"/>
        <v>0</v>
      </c>
      <c r="N131" s="50">
        <f t="shared" si="25"/>
        <v>0</v>
      </c>
      <c r="O131" s="50">
        <f t="shared" si="25"/>
        <v>0</v>
      </c>
      <c r="P131" s="50">
        <f ca="1">IF(P$85=YEAR(Sale_Date),Exit_Price*(1-Exit_Fee_Pct),0)</f>
        <v>131199074.52799585</v>
      </c>
    </row>
    <row r="132" spans="2:16" outlineLevel="1" x14ac:dyDescent="0.3">
      <c r="B132" s="4"/>
      <c r="C132" s="41" t="s">
        <v>128</v>
      </c>
      <c r="D132" s="12" t="s">
        <v>25</v>
      </c>
      <c r="E132" s="4"/>
      <c r="F132" s="50"/>
      <c r="G132" s="50">
        <f t="shared" ref="G132:P132" ca="1" si="26">IF(G$85&lt;=YEAR(Sale_Date),G111,0)</f>
        <v>4667410.2600000007</v>
      </c>
      <c r="H132" s="50">
        <f t="shared" ca="1" si="26"/>
        <v>4815547.6878000014</v>
      </c>
      <c r="I132" s="50">
        <f t="shared" ca="1" si="26"/>
        <v>4968291.5408339994</v>
      </c>
      <c r="J132" s="50">
        <f t="shared" ca="1" si="26"/>
        <v>5125783.2579070199</v>
      </c>
      <c r="K132" s="50">
        <f t="shared" ca="1" si="26"/>
        <v>5288168.5859091915</v>
      </c>
      <c r="L132" s="50">
        <f t="shared" ca="1" si="26"/>
        <v>5455597.7103567282</v>
      </c>
      <c r="M132" s="50">
        <f t="shared" ca="1" si="26"/>
        <v>5628225.3898750935</v>
      </c>
      <c r="N132" s="50">
        <f t="shared" ca="1" si="26"/>
        <v>5806211.0947431633</v>
      </c>
      <c r="O132" s="50">
        <f t="shared" ca="1" si="26"/>
        <v>5989719.1496207137</v>
      </c>
      <c r="P132" s="50">
        <f t="shared" ca="1" si="26"/>
        <v>6178918.8805852924</v>
      </c>
    </row>
    <row r="133" spans="2:16" outlineLevel="1" x14ac:dyDescent="0.3">
      <c r="B133" s="4"/>
      <c r="C133" s="41" t="s">
        <v>129</v>
      </c>
      <c r="D133" s="61" t="s">
        <v>25</v>
      </c>
      <c r="E133" s="4"/>
      <c r="F133" s="50">
        <f>-Entry_Price*(1+Entry_Fee_Pct)</f>
        <v>-121200000</v>
      </c>
      <c r="G133" s="72">
        <v>0</v>
      </c>
      <c r="H133" s="71">
        <v>0</v>
      </c>
      <c r="I133" s="71">
        <v>0</v>
      </c>
      <c r="J133" s="71">
        <v>0</v>
      </c>
      <c r="K133" s="71">
        <v>0</v>
      </c>
      <c r="L133" s="71">
        <v>0</v>
      </c>
      <c r="M133" s="71">
        <v>0</v>
      </c>
      <c r="N133" s="71">
        <v>0</v>
      </c>
      <c r="O133" s="71">
        <v>0</v>
      </c>
      <c r="P133" s="71">
        <v>0</v>
      </c>
    </row>
    <row r="134" spans="2:16" outlineLevel="1" x14ac:dyDescent="0.3">
      <c r="B134" s="4"/>
      <c r="C134" s="116" t="s">
        <v>136</v>
      </c>
      <c r="D134" s="12" t="s">
        <v>25</v>
      </c>
      <c r="E134" s="117"/>
      <c r="F134" s="73">
        <f t="shared" ref="F134:P134" si="27">SUM(F131:F133)</f>
        <v>-121200000</v>
      </c>
      <c r="G134" s="73">
        <f t="shared" ca="1" si="27"/>
        <v>4667410.2600000007</v>
      </c>
      <c r="H134" s="73">
        <f t="shared" ca="1" si="27"/>
        <v>4815547.6878000014</v>
      </c>
      <c r="I134" s="73">
        <f t="shared" ca="1" si="27"/>
        <v>4968291.5408339994</v>
      </c>
      <c r="J134" s="73">
        <f t="shared" ca="1" si="27"/>
        <v>5125783.2579070199</v>
      </c>
      <c r="K134" s="73">
        <f t="shared" ca="1" si="27"/>
        <v>5288168.5859091915</v>
      </c>
      <c r="L134" s="73">
        <f t="shared" ca="1" si="27"/>
        <v>5455597.7103567282</v>
      </c>
      <c r="M134" s="73">
        <f t="shared" ca="1" si="27"/>
        <v>5628225.3898750935</v>
      </c>
      <c r="N134" s="73">
        <f t="shared" ca="1" si="27"/>
        <v>5806211.0947431633</v>
      </c>
      <c r="O134" s="73">
        <f t="shared" ca="1" si="27"/>
        <v>5989719.1496207137</v>
      </c>
      <c r="P134" s="73">
        <f t="shared" ca="1" si="27"/>
        <v>137377993.40858114</v>
      </c>
    </row>
    <row r="135" spans="2:16" outlineLevel="1" x14ac:dyDescent="0.3">
      <c r="B135" s="4"/>
      <c r="C135" s="4"/>
      <c r="D135" s="3"/>
      <c r="E135" s="4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</row>
    <row r="136" spans="2:16" outlineLevel="1" x14ac:dyDescent="0.3">
      <c r="B136" s="4"/>
      <c r="C136" s="146" t="s">
        <v>134</v>
      </c>
      <c r="D136" s="119" t="s">
        <v>13</v>
      </c>
      <c r="E136" s="120"/>
      <c r="F136" s="160">
        <f ca="1">IRR(F134:P134)</f>
        <v>5.0477371484856315E-2</v>
      </c>
      <c r="G136" s="50"/>
      <c r="H136" s="50"/>
      <c r="I136" s="50"/>
      <c r="J136" s="50"/>
      <c r="K136" s="50"/>
      <c r="L136" s="50"/>
      <c r="M136" s="50"/>
      <c r="N136" s="50"/>
      <c r="O136" s="50"/>
      <c r="P136" s="50"/>
    </row>
    <row r="137" spans="2:16" outlineLevel="1" x14ac:dyDescent="0.3">
      <c r="B137" s="4"/>
      <c r="C137" s="4"/>
      <c r="D137" s="3"/>
      <c r="E137" s="4"/>
      <c r="F137" s="161"/>
      <c r="G137" s="50"/>
      <c r="H137" s="50"/>
      <c r="I137" s="50"/>
      <c r="J137" s="50"/>
      <c r="K137" s="50"/>
      <c r="L137" s="50"/>
      <c r="M137" s="50"/>
      <c r="N137" s="50"/>
      <c r="O137" s="50"/>
      <c r="P137" s="50"/>
    </row>
    <row r="138" spans="2:16" outlineLevel="1" x14ac:dyDescent="0.3">
      <c r="B138" s="4"/>
      <c r="C138" s="8" t="s">
        <v>147</v>
      </c>
      <c r="D138" s="12" t="s">
        <v>25</v>
      </c>
      <c r="E138" s="4"/>
      <c r="F138" s="50">
        <f ca="1">SUM(F131:P132)</f>
        <v>185122948.08562705</v>
      </c>
      <c r="G138" s="50"/>
      <c r="H138" s="50"/>
      <c r="I138" s="50"/>
      <c r="J138" s="50"/>
      <c r="K138" s="50"/>
      <c r="L138" s="50"/>
      <c r="M138" s="50"/>
      <c r="N138" s="50"/>
      <c r="O138" s="50"/>
      <c r="P138" s="50"/>
    </row>
    <row r="139" spans="2:16" outlineLevel="1" x14ac:dyDescent="0.3">
      <c r="B139" s="4"/>
      <c r="C139" s="8" t="s">
        <v>151</v>
      </c>
      <c r="D139" s="12" t="s">
        <v>25</v>
      </c>
      <c r="E139" s="4"/>
      <c r="F139" s="50">
        <f>-SUM(F133:P133)</f>
        <v>121200000</v>
      </c>
      <c r="G139" s="50"/>
      <c r="H139" s="50"/>
      <c r="I139" s="50"/>
      <c r="J139" s="50"/>
      <c r="K139" s="50"/>
      <c r="L139" s="50"/>
      <c r="M139" s="50"/>
      <c r="N139" s="50"/>
      <c r="O139" s="50"/>
      <c r="P139" s="50"/>
    </row>
    <row r="140" spans="2:16" outlineLevel="1" x14ac:dyDescent="0.3">
      <c r="B140" s="4"/>
      <c r="C140" s="8" t="s">
        <v>84</v>
      </c>
      <c r="D140" s="12" t="s">
        <v>77</v>
      </c>
      <c r="E140" s="4"/>
      <c r="F140" s="151">
        <f ca="1">+F138/F139</f>
        <v>1.5274170634127644</v>
      </c>
      <c r="G140" s="50"/>
      <c r="H140" s="50"/>
      <c r="I140" s="50"/>
      <c r="J140" s="50"/>
      <c r="K140" s="50"/>
      <c r="L140" s="50"/>
      <c r="M140" s="50"/>
      <c r="N140" s="50"/>
      <c r="O140" s="50"/>
      <c r="P140" s="50"/>
    </row>
    <row r="141" spans="2:16" outlineLevel="1" x14ac:dyDescent="0.3">
      <c r="B141" s="4"/>
      <c r="C141" s="4"/>
      <c r="D141" s="3"/>
      <c r="E141" s="4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</row>
    <row r="142" spans="2:16" outlineLevel="1" x14ac:dyDescent="0.3">
      <c r="B142" s="4"/>
      <c r="C142" s="108" t="str">
        <f>"NPV @ "&amp;TEXT(Discount_Rate,"0.00%")&amp;" Discount Rate (WACC):"</f>
        <v>NPV @ 5.80% Discount Rate (WACC):</v>
      </c>
      <c r="D142" s="12" t="s">
        <v>25</v>
      </c>
      <c r="E142" s="4"/>
      <c r="F142" s="98">
        <f ca="1">NPV(Discount_Rate,G134:P134)+F134</f>
        <v>-7050431.0358433723</v>
      </c>
      <c r="G142" s="50"/>
      <c r="H142" s="50"/>
      <c r="I142" s="50"/>
      <c r="J142" s="50"/>
      <c r="K142" s="50"/>
      <c r="L142" s="50"/>
      <c r="M142" s="50"/>
      <c r="N142" s="50"/>
      <c r="O142" s="50"/>
      <c r="P142" s="50"/>
    </row>
    <row r="143" spans="2:16" outlineLevel="1" x14ac:dyDescent="0.3">
      <c r="B143" s="4"/>
      <c r="C143" s="4"/>
      <c r="D143" s="3"/>
      <c r="E143" s="4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</row>
    <row r="144" spans="2:16" outlineLevel="1" x14ac:dyDescent="0.3">
      <c r="B144" s="4"/>
      <c r="C144" s="25" t="s">
        <v>137</v>
      </c>
      <c r="D144" s="3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</row>
    <row r="145" spans="2:17" outlineLevel="1" x14ac:dyDescent="0.3">
      <c r="B145" s="4"/>
      <c r="C145" s="41" t="s">
        <v>75</v>
      </c>
      <c r="D145" s="12" t="s">
        <v>25</v>
      </c>
      <c r="E145" s="50"/>
      <c r="F145" s="60"/>
      <c r="G145" s="60">
        <f t="shared" ref="G145:O145" si="28">IF(G$85=YEAR(Sale_Date),Exit_Price*(1-Exit_Fee_Pct),0)</f>
        <v>0</v>
      </c>
      <c r="H145" s="60">
        <f t="shared" si="28"/>
        <v>0</v>
      </c>
      <c r="I145" s="60">
        <f t="shared" si="28"/>
        <v>0</v>
      </c>
      <c r="J145" s="60">
        <f t="shared" si="28"/>
        <v>0</v>
      </c>
      <c r="K145" s="60">
        <f t="shared" si="28"/>
        <v>0</v>
      </c>
      <c r="L145" s="60">
        <f t="shared" si="28"/>
        <v>0</v>
      </c>
      <c r="M145" s="60">
        <f t="shared" si="28"/>
        <v>0</v>
      </c>
      <c r="N145" s="60">
        <f t="shared" si="28"/>
        <v>0</v>
      </c>
      <c r="O145" s="60">
        <f t="shared" si="28"/>
        <v>0</v>
      </c>
      <c r="P145" s="60">
        <f ca="1">IF(P$85=YEAR(Sale_Date),Exit_Price*(1-Exit_Fee_Pct),0)</f>
        <v>131199074.52799585</v>
      </c>
    </row>
    <row r="146" spans="2:17" outlineLevel="1" x14ac:dyDescent="0.3">
      <c r="B146" s="4"/>
      <c r="C146" s="41" t="s">
        <v>123</v>
      </c>
      <c r="D146" s="12" t="s">
        <v>25</v>
      </c>
      <c r="E146" s="50"/>
      <c r="F146" s="60"/>
      <c r="G146" s="60">
        <f t="shared" ref="G146:P146" ca="1" si="29">IF(G$85&lt;=YEAR(Sale_Date),G117,0)</f>
        <v>-190318.06722755195</v>
      </c>
      <c r="H146" s="60">
        <f t="shared" ca="1" si="29"/>
        <v>-42180.639427550836</v>
      </c>
      <c r="I146" s="60">
        <f t="shared" ca="1" si="29"/>
        <v>110563.21360644721</v>
      </c>
      <c r="J146" s="60">
        <f t="shared" ca="1" si="29"/>
        <v>268054.93067946821</v>
      </c>
      <c r="K146" s="60">
        <f t="shared" ca="1" si="29"/>
        <v>430440.2586816391</v>
      </c>
      <c r="L146" s="60">
        <f t="shared" ca="1" si="29"/>
        <v>597869.38312917505</v>
      </c>
      <c r="M146" s="60">
        <f t="shared" ca="1" si="29"/>
        <v>770497.06264754105</v>
      </c>
      <c r="N146" s="60">
        <f t="shared" ca="1" si="29"/>
        <v>948482.76751561067</v>
      </c>
      <c r="O146" s="60">
        <f t="shared" ca="1" si="29"/>
        <v>1131990.8223931617</v>
      </c>
      <c r="P146" s="60">
        <f t="shared" ca="1" si="29"/>
        <v>1321190.5533577395</v>
      </c>
    </row>
    <row r="147" spans="2:17" outlineLevel="1" x14ac:dyDescent="0.3">
      <c r="B147" s="4"/>
      <c r="C147" s="41" t="s">
        <v>116</v>
      </c>
      <c r="D147" s="12" t="s">
        <v>25</v>
      </c>
      <c r="E147" s="50"/>
      <c r="F147" s="60"/>
      <c r="G147" s="60">
        <f t="shared" ref="G147:P147" si="30">IF(G$85=YEAR(Sale_Date),-G119,0)</f>
        <v>0</v>
      </c>
      <c r="H147" s="60">
        <f t="shared" si="30"/>
        <v>0</v>
      </c>
      <c r="I147" s="60">
        <f t="shared" si="30"/>
        <v>0</v>
      </c>
      <c r="J147" s="60">
        <f t="shared" si="30"/>
        <v>0</v>
      </c>
      <c r="K147" s="60">
        <f t="shared" si="30"/>
        <v>0</v>
      </c>
      <c r="L147" s="60">
        <f t="shared" si="30"/>
        <v>0</v>
      </c>
      <c r="M147" s="60">
        <f t="shared" si="30"/>
        <v>0</v>
      </c>
      <c r="N147" s="60">
        <f t="shared" si="30"/>
        <v>0</v>
      </c>
      <c r="O147" s="60">
        <f t="shared" si="30"/>
        <v>0</v>
      </c>
      <c r="P147" s="60">
        <f t="shared" si="30"/>
        <v>-66018113.262216404</v>
      </c>
    </row>
    <row r="148" spans="2:17" outlineLevel="1" x14ac:dyDescent="0.3">
      <c r="B148" s="4"/>
      <c r="C148" s="41" t="s">
        <v>130</v>
      </c>
      <c r="D148" s="12" t="s">
        <v>25</v>
      </c>
      <c r="E148" s="50"/>
      <c r="F148" s="60"/>
      <c r="G148" s="60">
        <f t="shared" ref="G148:P148" si="31">IF((G85-$F85)&lt;Loan_Term,Loan_Prepay_Penalty*G147,0)</f>
        <v>0</v>
      </c>
      <c r="H148" s="60">
        <f t="shared" si="31"/>
        <v>0</v>
      </c>
      <c r="I148" s="60">
        <f t="shared" si="31"/>
        <v>0</v>
      </c>
      <c r="J148" s="60">
        <f t="shared" si="31"/>
        <v>0</v>
      </c>
      <c r="K148" s="60">
        <f t="shared" si="31"/>
        <v>0</v>
      </c>
      <c r="L148" s="60">
        <f t="shared" si="31"/>
        <v>0</v>
      </c>
      <c r="M148" s="60">
        <f t="shared" si="31"/>
        <v>0</v>
      </c>
      <c r="N148" s="60">
        <f t="shared" si="31"/>
        <v>0</v>
      </c>
      <c r="O148" s="60">
        <f t="shared" si="31"/>
        <v>0</v>
      </c>
      <c r="P148" s="60">
        <f t="shared" si="31"/>
        <v>0</v>
      </c>
    </row>
    <row r="149" spans="2:17" outlineLevel="1" x14ac:dyDescent="0.3">
      <c r="B149" s="4"/>
      <c r="C149" s="41" t="s">
        <v>76</v>
      </c>
      <c r="D149" s="61" t="s">
        <v>25</v>
      </c>
      <c r="E149" s="50"/>
      <c r="F149" s="50">
        <f>-E44</f>
        <v>-38040000</v>
      </c>
      <c r="G149" s="72">
        <v>0</v>
      </c>
      <c r="H149" s="72">
        <v>0</v>
      </c>
      <c r="I149" s="72">
        <v>0</v>
      </c>
      <c r="J149" s="72">
        <v>0</v>
      </c>
      <c r="K149" s="72">
        <v>0</v>
      </c>
      <c r="L149" s="72">
        <v>0</v>
      </c>
      <c r="M149" s="72">
        <v>0</v>
      </c>
      <c r="N149" s="72">
        <v>0</v>
      </c>
      <c r="O149" s="72">
        <v>0</v>
      </c>
      <c r="P149" s="72">
        <v>0</v>
      </c>
    </row>
    <row r="150" spans="2:17" outlineLevel="1" x14ac:dyDescent="0.3">
      <c r="B150" s="4"/>
      <c r="C150" s="62" t="s">
        <v>138</v>
      </c>
      <c r="D150" s="12" t="s">
        <v>25</v>
      </c>
      <c r="E150" s="58"/>
      <c r="F150" s="73">
        <f t="shared" ref="F150:P150" si="32">SUM(F145:F149)</f>
        <v>-38040000</v>
      </c>
      <c r="G150" s="73">
        <f t="shared" ca="1" si="32"/>
        <v>-190318.06722755195</v>
      </c>
      <c r="H150" s="73">
        <f t="shared" ca="1" si="32"/>
        <v>-42180.639427550836</v>
      </c>
      <c r="I150" s="73">
        <f t="shared" ca="1" si="32"/>
        <v>110563.21360644721</v>
      </c>
      <c r="J150" s="73">
        <f t="shared" ca="1" si="32"/>
        <v>268054.93067946821</v>
      </c>
      <c r="K150" s="73">
        <f t="shared" ca="1" si="32"/>
        <v>430440.2586816391</v>
      </c>
      <c r="L150" s="73">
        <f t="shared" ca="1" si="32"/>
        <v>597869.38312917505</v>
      </c>
      <c r="M150" s="73">
        <f t="shared" ca="1" si="32"/>
        <v>770497.06264754105</v>
      </c>
      <c r="N150" s="73">
        <f t="shared" ca="1" si="32"/>
        <v>948482.76751561067</v>
      </c>
      <c r="O150" s="73">
        <f t="shared" ca="1" si="32"/>
        <v>1131990.8223931617</v>
      </c>
      <c r="P150" s="73">
        <f t="shared" ca="1" si="32"/>
        <v>66502151.819137186</v>
      </c>
    </row>
    <row r="151" spans="2:17" outlineLevel="1" x14ac:dyDescent="0.3">
      <c r="B151" s="4"/>
      <c r="C151" s="4"/>
      <c r="D151" s="3"/>
      <c r="E151" s="4"/>
      <c r="F151" s="159"/>
      <c r="G151" s="50"/>
      <c r="H151" s="50"/>
      <c r="I151" s="50"/>
      <c r="J151" s="50"/>
      <c r="K151" s="50"/>
      <c r="L151" s="50"/>
      <c r="M151" s="50"/>
      <c r="N151" s="50"/>
      <c r="O151" s="50"/>
      <c r="P151" s="50"/>
    </row>
    <row r="152" spans="2:17" outlineLevel="1" x14ac:dyDescent="0.3">
      <c r="B152" s="4"/>
      <c r="C152" s="146" t="s">
        <v>135</v>
      </c>
      <c r="D152" s="119" t="s">
        <v>13</v>
      </c>
      <c r="E152" s="120"/>
      <c r="F152" s="160">
        <f ca="1">IRR(F150:P150)</f>
        <v>6.4733403262244416E-2</v>
      </c>
      <c r="G152" s="50"/>
      <c r="H152" s="50"/>
      <c r="I152" s="50"/>
      <c r="J152" s="50"/>
      <c r="K152" s="50"/>
      <c r="L152" s="50"/>
      <c r="M152" s="50"/>
      <c r="N152" s="50"/>
      <c r="O152" s="50"/>
      <c r="P152" s="50"/>
    </row>
    <row r="153" spans="2:17" outlineLevel="1" x14ac:dyDescent="0.3">
      <c r="B153" s="2"/>
      <c r="C153" s="2"/>
      <c r="D153" s="28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2:17" outlineLevel="1" x14ac:dyDescent="0.3">
      <c r="B154" s="2"/>
      <c r="C154" s="8" t="s">
        <v>148</v>
      </c>
      <c r="D154" s="12" t="s">
        <v>25</v>
      </c>
      <c r="E154" s="2"/>
      <c r="F154" s="50">
        <f ca="1">SUM(F145:P148)</f>
        <v>70527551.551135138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2:17" outlineLevel="1" x14ac:dyDescent="0.3">
      <c r="B155" s="2"/>
      <c r="C155" s="8" t="s">
        <v>83</v>
      </c>
      <c r="D155" s="12" t="s">
        <v>25</v>
      </c>
      <c r="E155" s="2"/>
      <c r="F155" s="50">
        <f>-SUM(F149:P149)</f>
        <v>38040000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2:17" outlineLevel="1" x14ac:dyDescent="0.3">
      <c r="B156" s="2"/>
      <c r="C156" s="8" t="s">
        <v>84</v>
      </c>
      <c r="D156" s="12" t="s">
        <v>77</v>
      </c>
      <c r="E156" s="2"/>
      <c r="F156" s="151">
        <f ca="1">+F154/F155</f>
        <v>1.8540365812601245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2:17" outlineLevel="1" x14ac:dyDescent="0.3"/>
    <row r="158" spans="2:17" outlineLevel="1" x14ac:dyDescent="0.3">
      <c r="C158" s="108" t="str">
        <f>"NPV @ "&amp;TEXT(Cost_of_Equity,"0.00%")&amp;" Discount Rate (Cost of Equity):"</f>
        <v>NPV @ 10.00% Discount Rate (Cost of Equity):</v>
      </c>
      <c r="D158" s="12" t="s">
        <v>25</v>
      </c>
      <c r="F158" s="98">
        <f ca="1">NPV(Cost_of_Equity,G150:P150)+F150</f>
        <v>-10419578.326709017</v>
      </c>
    </row>
    <row r="160" spans="2:17" x14ac:dyDescent="0.3">
      <c r="B160" s="5" t="s">
        <v>99</v>
      </c>
      <c r="C160" s="5"/>
      <c r="D160" s="6"/>
      <c r="E160" s="5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</row>
    <row r="161" spans="3:9" outlineLevel="1" x14ac:dyDescent="0.3"/>
    <row r="162" spans="3:9" outlineLevel="1" x14ac:dyDescent="0.3">
      <c r="C162" t="s">
        <v>131</v>
      </c>
      <c r="D162" s="100">
        <v>0.1</v>
      </c>
    </row>
    <row r="163" spans="3:9" outlineLevel="1" x14ac:dyDescent="0.3">
      <c r="C163" s="11" t="s">
        <v>132</v>
      </c>
      <c r="D163" s="118">
        <f>+LTV*Loan_Interest_Rate+(1-LTV)*Cost_of_Equity</f>
        <v>5.8000000000000003E-2</v>
      </c>
    </row>
    <row r="164" spans="3:9" outlineLevel="1" x14ac:dyDescent="0.3"/>
    <row r="165" spans="3:9" outlineLevel="1" x14ac:dyDescent="0.3">
      <c r="C165" s="92" t="s">
        <v>101</v>
      </c>
      <c r="D165" s="93"/>
      <c r="F165" s="92" t="s">
        <v>102</v>
      </c>
      <c r="G165" s="93"/>
      <c r="H165" s="93"/>
      <c r="I165" s="93"/>
    </row>
    <row r="166" spans="3:9" outlineLevel="1" x14ac:dyDescent="0.3">
      <c r="C166" s="81"/>
      <c r="D166" s="80"/>
      <c r="F166" s="80"/>
      <c r="G166" s="80"/>
      <c r="H166" s="80"/>
      <c r="I166" s="82"/>
    </row>
    <row r="167" spans="3:9" outlineLevel="1" x14ac:dyDescent="0.3">
      <c r="C167" t="s">
        <v>104</v>
      </c>
      <c r="D167" s="95">
        <f ca="1">+Exit_Cap_Rate</f>
        <v>5.5E-2</v>
      </c>
      <c r="F167" s="83" t="s">
        <v>110</v>
      </c>
      <c r="G167" s="80"/>
      <c r="H167" s="84"/>
      <c r="I167" s="94">
        <v>1.0049484238922412E-2</v>
      </c>
    </row>
    <row r="168" spans="3:9" outlineLevel="1" x14ac:dyDescent="0.3">
      <c r="C168" s="83" t="s">
        <v>103</v>
      </c>
      <c r="D168" s="98">
        <f ca="1">+Q182/D167</f>
        <v>133876606.66122027</v>
      </c>
      <c r="F168" s="83" t="s">
        <v>103</v>
      </c>
      <c r="G168" s="80"/>
      <c r="H168" s="84"/>
      <c r="I168" s="98">
        <f ca="1">+P184*(1+Terminal_Growth_Rate)/(Discount_Rate-Terminal_Growth_Rate)*(1+Discount_Rate)^0.5</f>
        <v>133876606.66122028</v>
      </c>
    </row>
    <row r="169" spans="3:9" outlineLevel="1" x14ac:dyDescent="0.3">
      <c r="C169" s="83" t="s">
        <v>105</v>
      </c>
      <c r="D169" s="99">
        <f ca="1">(+D168*Discount_Rate-P184*(1+Discount_Rate)^0.5)/(P184*(1+Discount_Rate)^0.5+D168)</f>
        <v>1.0049484238922412E-2</v>
      </c>
      <c r="F169" s="83" t="s">
        <v>111</v>
      </c>
      <c r="G169" s="80"/>
      <c r="H169" s="84"/>
      <c r="I169" s="99">
        <f ca="1">+Q182/I168</f>
        <v>5.4999999999999993E-2</v>
      </c>
    </row>
    <row r="170" spans="3:9" outlineLevel="1" x14ac:dyDescent="0.3">
      <c r="C170" s="81"/>
      <c r="D170" s="80"/>
      <c r="F170" s="86"/>
      <c r="G170" s="84"/>
      <c r="H170" s="84"/>
      <c r="I170" s="87"/>
    </row>
    <row r="171" spans="3:9" outlineLevel="1" x14ac:dyDescent="0.3">
      <c r="C171" s="88" t="s">
        <v>106</v>
      </c>
      <c r="D171" s="98">
        <f ca="1">+D168/((1+Discount_Rate)^P189)</f>
        <v>76181236.7533824</v>
      </c>
      <c r="F171" s="88" t="s">
        <v>106</v>
      </c>
      <c r="G171" s="101"/>
      <c r="H171" s="84"/>
      <c r="I171" s="98">
        <f ca="1">+I168/((1+Discount_Rate)^P189)</f>
        <v>76181236.753382415</v>
      </c>
    </row>
    <row r="172" spans="3:9" outlineLevel="1" x14ac:dyDescent="0.3">
      <c r="C172" s="89" t="s">
        <v>149</v>
      </c>
      <c r="D172" s="102">
        <f ca="1">SUM(G187:P187)</f>
        <v>40621082.135882847</v>
      </c>
      <c r="F172" s="89" t="s">
        <v>149</v>
      </c>
      <c r="G172" s="102"/>
      <c r="H172" s="79"/>
      <c r="I172" s="102">
        <f ca="1">SUM(G187:P187)</f>
        <v>40621082.135882847</v>
      </c>
    </row>
    <row r="173" spans="3:9" outlineLevel="1" x14ac:dyDescent="0.3">
      <c r="C173" s="90" t="s">
        <v>107</v>
      </c>
      <c r="D173" s="103">
        <f ca="1">SUM(D171:D172)</f>
        <v>116802318.88926524</v>
      </c>
      <c r="F173" s="90" t="s">
        <v>107</v>
      </c>
      <c r="G173" s="103"/>
      <c r="H173" s="84"/>
      <c r="I173" s="103">
        <f ca="1">SUM(I171:I172)</f>
        <v>116802318.88926527</v>
      </c>
    </row>
    <row r="174" spans="3:9" outlineLevel="1" x14ac:dyDescent="0.3">
      <c r="C174" s="85"/>
      <c r="D174" s="85"/>
      <c r="F174" s="85"/>
      <c r="G174" s="85"/>
      <c r="H174" s="84"/>
      <c r="I174" s="85"/>
    </row>
    <row r="175" spans="3:9" outlineLevel="1" x14ac:dyDescent="0.3">
      <c r="C175" s="91" t="s">
        <v>145</v>
      </c>
      <c r="D175" s="104">
        <f ca="1">+D171/D173</f>
        <v>0.65222366711405988</v>
      </c>
      <c r="F175" s="91" t="s">
        <v>145</v>
      </c>
      <c r="G175" s="104"/>
      <c r="H175" s="84"/>
      <c r="I175" s="104">
        <f ca="1">+I171/I173</f>
        <v>0.65222366711405988</v>
      </c>
    </row>
    <row r="176" spans="3:9" outlineLevel="1" x14ac:dyDescent="0.3"/>
    <row r="177" spans="2:17" outlineLevel="1" x14ac:dyDescent="0.3">
      <c r="C177" s="110" t="s">
        <v>109</v>
      </c>
      <c r="D177" s="111">
        <f ca="1">+D173/Entry_Price-1</f>
        <v>-2.6647342589456335E-2</v>
      </c>
      <c r="F177" s="110" t="s">
        <v>109</v>
      </c>
      <c r="G177" s="111"/>
      <c r="H177" s="112"/>
      <c r="I177" s="111">
        <f ca="1">+I173/Entry_Price-1</f>
        <v>-2.6647342589456113E-2</v>
      </c>
    </row>
    <row r="179" spans="2:17" x14ac:dyDescent="0.3">
      <c r="B179" s="32"/>
      <c r="C179" s="32"/>
      <c r="D179" s="33"/>
      <c r="E179" s="32"/>
      <c r="F179" s="34" t="str">
        <f>+$F$48</f>
        <v>Historical:</v>
      </c>
      <c r="G179" s="35" t="str">
        <f>+$G$48</f>
        <v>Projected:</v>
      </c>
      <c r="H179" s="36"/>
      <c r="I179" s="36"/>
      <c r="J179" s="36"/>
      <c r="K179" s="36"/>
      <c r="L179" s="36"/>
      <c r="M179" s="36"/>
      <c r="N179" s="36"/>
      <c r="O179" s="36"/>
      <c r="P179" s="36"/>
      <c r="Q179" s="70" t="str">
        <f>+$Q$48</f>
        <v>Stabilized</v>
      </c>
    </row>
    <row r="180" spans="2:17" x14ac:dyDescent="0.3">
      <c r="B180" s="5" t="s">
        <v>144</v>
      </c>
      <c r="C180" s="5"/>
      <c r="D180" s="6" t="str">
        <f>+$D$5</f>
        <v>Units:</v>
      </c>
      <c r="E180" s="5"/>
      <c r="F180" s="57">
        <f>+$F$49</f>
        <v>42004</v>
      </c>
      <c r="G180" s="38">
        <f>+$G$49</f>
        <v>42369</v>
      </c>
      <c r="H180" s="37">
        <f>+$H$49</f>
        <v>42735</v>
      </c>
      <c r="I180" s="37">
        <f>+$I$49</f>
        <v>43100</v>
      </c>
      <c r="J180" s="37">
        <f>+$J$49</f>
        <v>43465</v>
      </c>
      <c r="K180" s="37">
        <f>+$K$49</f>
        <v>43830</v>
      </c>
      <c r="L180" s="37">
        <f>+$L$49</f>
        <v>44196</v>
      </c>
      <c r="M180" s="37">
        <f>+$M$49</f>
        <v>44561</v>
      </c>
      <c r="N180" s="37">
        <f>+$N$49</f>
        <v>44926</v>
      </c>
      <c r="O180" s="37">
        <f>+$O$49</f>
        <v>45291</v>
      </c>
      <c r="P180" s="37">
        <f>+$P$49</f>
        <v>45657</v>
      </c>
      <c r="Q180" s="37" t="str">
        <f>+$Q$49</f>
        <v>Year:</v>
      </c>
    </row>
    <row r="181" spans="2:17" outlineLevel="1" x14ac:dyDescent="0.3"/>
    <row r="182" spans="2:17" outlineLevel="1" x14ac:dyDescent="0.3">
      <c r="C182" t="s">
        <v>66</v>
      </c>
      <c r="D182" s="96" t="s">
        <v>25</v>
      </c>
      <c r="F182" s="97">
        <f t="shared" ref="F182:Q182" si="33">+F104</f>
        <v>5319342</v>
      </c>
      <c r="G182" s="97">
        <f t="shared" ca="1" si="33"/>
        <v>5478922.2600000007</v>
      </c>
      <c r="H182" s="97">
        <f t="shared" ca="1" si="33"/>
        <v>5643289.9278000016</v>
      </c>
      <c r="I182" s="97">
        <f t="shared" ca="1" si="33"/>
        <v>5812588.6256339997</v>
      </c>
      <c r="J182" s="97">
        <f t="shared" ca="1" si="33"/>
        <v>5986966.2844030205</v>
      </c>
      <c r="K182" s="97">
        <f t="shared" ca="1" si="33"/>
        <v>6166575.272935112</v>
      </c>
      <c r="L182" s="97">
        <f t="shared" ca="1" si="33"/>
        <v>6351572.5311231669</v>
      </c>
      <c r="M182" s="97">
        <f t="shared" ca="1" si="33"/>
        <v>6542119.7070568604</v>
      </c>
      <c r="N182" s="97">
        <f t="shared" ca="1" si="33"/>
        <v>6738383.2982685659</v>
      </c>
      <c r="O182" s="97">
        <f t="shared" ca="1" si="33"/>
        <v>6940534.797216624</v>
      </c>
      <c r="P182" s="97">
        <f t="shared" ca="1" si="33"/>
        <v>7148750.8411331214</v>
      </c>
      <c r="Q182" s="97">
        <f t="shared" ca="1" si="33"/>
        <v>7363213.3663671147</v>
      </c>
    </row>
    <row r="183" spans="2:17" outlineLevel="1" x14ac:dyDescent="0.3"/>
    <row r="184" spans="2:17" outlineLevel="1" x14ac:dyDescent="0.3">
      <c r="C184" t="s">
        <v>152</v>
      </c>
      <c r="D184" s="96" t="s">
        <v>25</v>
      </c>
      <c r="F184" s="78">
        <f t="shared" ref="F184:Q184" si="34">+F111</f>
        <v>4523742</v>
      </c>
      <c r="G184" s="78">
        <f t="shared" ca="1" si="34"/>
        <v>4667410.2600000007</v>
      </c>
      <c r="H184" s="78">
        <f t="shared" ca="1" si="34"/>
        <v>4815547.6878000014</v>
      </c>
      <c r="I184" s="78">
        <f t="shared" ca="1" si="34"/>
        <v>4968291.5408339994</v>
      </c>
      <c r="J184" s="78">
        <f t="shared" ca="1" si="34"/>
        <v>5125783.2579070199</v>
      </c>
      <c r="K184" s="78">
        <f t="shared" ca="1" si="34"/>
        <v>5288168.5859091915</v>
      </c>
      <c r="L184" s="78">
        <f t="shared" ca="1" si="34"/>
        <v>5455597.7103567282</v>
      </c>
      <c r="M184" s="78">
        <f t="shared" ca="1" si="34"/>
        <v>5628225.3898750935</v>
      </c>
      <c r="N184" s="78">
        <f t="shared" ca="1" si="34"/>
        <v>5806211.0947431633</v>
      </c>
      <c r="O184" s="78">
        <f t="shared" ca="1" si="34"/>
        <v>5989719.1496207137</v>
      </c>
      <c r="P184" s="78">
        <f t="shared" ca="1" si="34"/>
        <v>6178918.8805852924</v>
      </c>
      <c r="Q184" s="78">
        <f t="shared" ca="1" si="34"/>
        <v>6373984.7666083295</v>
      </c>
    </row>
    <row r="185" spans="2:17" outlineLevel="1" x14ac:dyDescent="0.3">
      <c r="B185" s="4"/>
      <c r="C185" s="77" t="s">
        <v>100</v>
      </c>
      <c r="D185" s="12" t="s">
        <v>13</v>
      </c>
      <c r="E185" s="50"/>
      <c r="F185" s="49" t="str">
        <f t="shared" ref="F185:Q185" si="35">IFERROR(+F184/E184-1,"N/A")</f>
        <v>N/A</v>
      </c>
      <c r="G185" s="49">
        <f t="shared" ca="1" si="35"/>
        <v>3.1758720988067202E-2</v>
      </c>
      <c r="H185" s="49">
        <f t="shared" ca="1" si="35"/>
        <v>3.1738677242398872E-2</v>
      </c>
      <c r="I185" s="49">
        <f t="shared" ca="1" si="35"/>
        <v>3.1718895323364471E-2</v>
      </c>
      <c r="J185" s="49">
        <f t="shared" ca="1" si="35"/>
        <v>3.1699371057154924E-2</v>
      </c>
      <c r="K185" s="49">
        <f t="shared" ca="1" si="35"/>
        <v>3.1680100353770557E-2</v>
      </c>
      <c r="L185" s="49">
        <f t="shared" ca="1" si="35"/>
        <v>3.1661079204938103E-2</v>
      </c>
      <c r="M185" s="49">
        <f t="shared" ca="1" si="35"/>
        <v>3.1642303682079431E-2</v>
      </c>
      <c r="N185" s="49">
        <f t="shared" ca="1" si="35"/>
        <v>3.1623769934348678E-2</v>
      </c>
      <c r="O185" s="49">
        <f t="shared" ca="1" si="35"/>
        <v>3.1605474186719551E-2</v>
      </c>
      <c r="P185" s="49">
        <f t="shared" ca="1" si="35"/>
        <v>3.1587412738134812E-2</v>
      </c>
      <c r="Q185" s="49">
        <f t="shared" ca="1" si="35"/>
        <v>3.1569581959709936E-2</v>
      </c>
    </row>
    <row r="186" spans="2:17" outlineLevel="1" x14ac:dyDescent="0.3">
      <c r="G186" s="78"/>
      <c r="H186" s="78"/>
      <c r="I186" s="78"/>
      <c r="J186" s="78"/>
      <c r="K186" s="78"/>
      <c r="L186" s="78"/>
      <c r="M186" s="78"/>
      <c r="N186" s="78"/>
      <c r="O186" s="78"/>
      <c r="P186" s="78"/>
    </row>
    <row r="187" spans="2:17" outlineLevel="1" x14ac:dyDescent="0.3">
      <c r="C187" t="s">
        <v>98</v>
      </c>
      <c r="D187" s="96" t="s">
        <v>25</v>
      </c>
      <c r="G187" s="78">
        <f t="shared" ref="G187:P187" ca="1" si="36">+G184/((1+Discount_Rate)^G190)</f>
        <v>4537672.4435825953</v>
      </c>
      <c r="H187" s="78">
        <f t="shared" ca="1" si="36"/>
        <v>4425039.8532147352</v>
      </c>
      <c r="I187" s="78">
        <f t="shared" ca="1" si="36"/>
        <v>4315120.2543672677</v>
      </c>
      <c r="J187" s="78">
        <f t="shared" ca="1" si="36"/>
        <v>4207851.4673598297</v>
      </c>
      <c r="K187" s="78">
        <f t="shared" ca="1" si="36"/>
        <v>4103172.6125893667</v>
      </c>
      <c r="L187" s="78">
        <f t="shared" ca="1" si="36"/>
        <v>4001024.0885331677</v>
      </c>
      <c r="M187" s="78">
        <f t="shared" ca="1" si="36"/>
        <v>3901347.5498883259</v>
      </c>
      <c r="N187" s="78">
        <f t="shared" ca="1" si="36"/>
        <v>3804085.8858600468</v>
      </c>
      <c r="O187" s="78">
        <f t="shared" ca="1" si="36"/>
        <v>3709183.1986102657</v>
      </c>
      <c r="P187" s="78">
        <f t="shared" ca="1" si="36"/>
        <v>3616584.7818772425</v>
      </c>
    </row>
    <row r="188" spans="2:17" outlineLevel="1" x14ac:dyDescent="0.3"/>
    <row r="189" spans="2:17" outlineLevel="1" x14ac:dyDescent="0.3">
      <c r="C189" t="s">
        <v>108</v>
      </c>
      <c r="D189" s="96" t="s">
        <v>113</v>
      </c>
      <c r="G189" s="106">
        <v>1</v>
      </c>
      <c r="H189" s="105">
        <f>+G189+1</f>
        <v>2</v>
      </c>
      <c r="I189" s="105">
        <f t="shared" ref="I189:Q189" si="37">+H189+1</f>
        <v>3</v>
      </c>
      <c r="J189" s="105">
        <f t="shared" si="37"/>
        <v>4</v>
      </c>
      <c r="K189" s="105">
        <f t="shared" si="37"/>
        <v>5</v>
      </c>
      <c r="L189" s="105">
        <f t="shared" si="37"/>
        <v>6</v>
      </c>
      <c r="M189" s="105">
        <f t="shared" si="37"/>
        <v>7</v>
      </c>
      <c r="N189" s="105">
        <f t="shared" si="37"/>
        <v>8</v>
      </c>
      <c r="O189" s="105">
        <f t="shared" si="37"/>
        <v>9</v>
      </c>
      <c r="P189" s="105">
        <f t="shared" si="37"/>
        <v>10</v>
      </c>
      <c r="Q189" s="105">
        <f t="shared" si="37"/>
        <v>11</v>
      </c>
    </row>
    <row r="190" spans="2:17" outlineLevel="1" x14ac:dyDescent="0.3">
      <c r="C190" t="s">
        <v>97</v>
      </c>
      <c r="D190" s="96" t="s">
        <v>113</v>
      </c>
      <c r="G190" s="106">
        <v>0.5</v>
      </c>
      <c r="H190" s="105">
        <f>+G190+1</f>
        <v>1.5</v>
      </c>
      <c r="I190" s="105">
        <f t="shared" ref="I190:Q190" si="38">+H190+1</f>
        <v>2.5</v>
      </c>
      <c r="J190" s="105">
        <f t="shared" si="38"/>
        <v>3.5</v>
      </c>
      <c r="K190" s="105">
        <f t="shared" si="38"/>
        <v>4.5</v>
      </c>
      <c r="L190" s="105">
        <f t="shared" si="38"/>
        <v>5.5</v>
      </c>
      <c r="M190" s="105">
        <f t="shared" si="38"/>
        <v>6.5</v>
      </c>
      <c r="N190" s="105">
        <f t="shared" si="38"/>
        <v>7.5</v>
      </c>
      <c r="O190" s="105">
        <f t="shared" si="38"/>
        <v>8.5</v>
      </c>
      <c r="P190" s="105">
        <f t="shared" si="38"/>
        <v>9.5</v>
      </c>
      <c r="Q190" s="105">
        <f t="shared" si="38"/>
        <v>10.5</v>
      </c>
    </row>
    <row r="192" spans="2:17" x14ac:dyDescent="0.3">
      <c r="B192" s="5" t="s">
        <v>143</v>
      </c>
      <c r="C192" s="5"/>
      <c r="D192" s="6"/>
      <c r="E192" s="5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</row>
    <row r="193" spans="4:15" outlineLevel="1" x14ac:dyDescent="0.3"/>
    <row r="194" spans="4:15" outlineLevel="1" x14ac:dyDescent="0.3">
      <c r="D194" s="121" t="str">
        <f ca="1">"Sensitivity Analysis - 10-Year Leveraged IRR and Exit Cap Rate vs. LTV ("&amp;OFFSET($C$50,Scenario,0)&amp;")"</f>
        <v>Sensitivity Analysis - 10-Year Leveraged IRR and Exit Cap Rate vs. LTV (Scenario #1 - Steady Growth)</v>
      </c>
    </row>
    <row r="195" spans="4:15" outlineLevel="1" x14ac:dyDescent="0.3"/>
    <row r="196" spans="4:15" outlineLevel="1" x14ac:dyDescent="0.3">
      <c r="D196" s="125"/>
      <c r="E196" s="127"/>
      <c r="F196" s="127"/>
      <c r="G196" s="128" t="s">
        <v>139</v>
      </c>
      <c r="H196" s="128"/>
      <c r="I196" s="128"/>
      <c r="J196" s="128"/>
      <c r="K196" s="128"/>
      <c r="L196" s="128"/>
      <c r="M196" s="128"/>
      <c r="N196" s="128"/>
      <c r="O196" s="129"/>
    </row>
    <row r="197" spans="4:15" outlineLevel="1" x14ac:dyDescent="0.3">
      <c r="D197" s="126"/>
      <c r="E197" s="140" t="s">
        <v>140</v>
      </c>
      <c r="F197" s="122">
        <f ca="1">+$F$152</f>
        <v>6.4733403262244416E-2</v>
      </c>
      <c r="G197" s="123">
        <v>0.55000000000000004</v>
      </c>
      <c r="H197" s="123">
        <f>+G197+2.5%</f>
        <v>0.57500000000000007</v>
      </c>
      <c r="I197" s="123">
        <f t="shared" ref="I197:O197" si="39">+H197+2.5%</f>
        <v>0.60000000000000009</v>
      </c>
      <c r="J197" s="123">
        <f t="shared" si="39"/>
        <v>0.62500000000000011</v>
      </c>
      <c r="K197" s="123">
        <f t="shared" si="39"/>
        <v>0.65000000000000013</v>
      </c>
      <c r="L197" s="123">
        <f t="shared" si="39"/>
        <v>0.67500000000000016</v>
      </c>
      <c r="M197" s="123">
        <f t="shared" si="39"/>
        <v>0.70000000000000018</v>
      </c>
      <c r="N197" s="123">
        <f t="shared" si="39"/>
        <v>0.7250000000000002</v>
      </c>
      <c r="O197" s="124">
        <f t="shared" si="39"/>
        <v>0.75000000000000022</v>
      </c>
    </row>
    <row r="198" spans="4:15" outlineLevel="1" x14ac:dyDescent="0.3">
      <c r="D198" s="189" t="s">
        <v>141</v>
      </c>
      <c r="E198" s="132">
        <f ca="1">+$Q$104/F198</f>
        <v>122720222.77278525</v>
      </c>
      <c r="F198" s="130">
        <v>0.06</v>
      </c>
      <c r="G198" s="135">
        <f t="dataTable" ref="G198:O204" dt2D="1" dtr="1" r1="E34" r2="K26" ca="1"/>
        <v>4.5344577340715286E-2</v>
      </c>
      <c r="H198" s="136">
        <v>4.5529219516139641E-2</v>
      </c>
      <c r="I198" s="136">
        <v>4.5731800632776931E-2</v>
      </c>
      <c r="J198" s="136">
        <v>4.5955073374152278E-2</v>
      </c>
      <c r="K198" s="136">
        <v>4.6202385142941615E-2</v>
      </c>
      <c r="L198" s="136">
        <v>4.6477848213764661E-2</v>
      </c>
      <c r="M198" s="137">
        <v>4.6786572000070858E-2</v>
      </c>
      <c r="N198" s="136">
        <v>4.7134985679006869E-2</v>
      </c>
      <c r="O198" s="136">
        <v>4.7531295163035336E-2</v>
      </c>
    </row>
    <row r="199" spans="4:15" outlineLevel="1" x14ac:dyDescent="0.3">
      <c r="D199" s="190"/>
      <c r="E199" s="133">
        <f t="shared" ref="E199:E204" ca="1" si="40">+$Q$104/F199</f>
        <v>130322360.46667461</v>
      </c>
      <c r="F199" s="130">
        <f>+F198-0.35%</f>
        <v>5.6499999999999995E-2</v>
      </c>
      <c r="G199" s="135">
        <v>5.4718769200693185E-2</v>
      </c>
      <c r="H199" s="136">
        <v>5.5312873848329502E-2</v>
      </c>
      <c r="I199" s="136">
        <v>5.5962613629514824E-2</v>
      </c>
      <c r="J199" s="136">
        <v>5.6676245646814838E-2</v>
      </c>
      <c r="K199" s="136">
        <v>5.7463759177840634E-2</v>
      </c>
      <c r="L199" s="136">
        <v>5.8337358979196896E-2</v>
      </c>
      <c r="M199" s="137">
        <v>5.9312121485766589E-2</v>
      </c>
      <c r="N199" s="136">
        <v>6.0406901364622456E-2</v>
      </c>
      <c r="O199" s="136">
        <v>6.164560868270752E-2</v>
      </c>
    </row>
    <row r="200" spans="4:15" outlineLevel="1" x14ac:dyDescent="0.3">
      <c r="D200" s="190"/>
      <c r="E200" s="133">
        <f t="shared" ca="1" si="40"/>
        <v>138928554.08239841</v>
      </c>
      <c r="F200" s="130">
        <f t="shared" ref="F200:F204" si="41">+F199-0.35%</f>
        <v>5.2999999999999992E-2</v>
      </c>
      <c r="G200" s="135">
        <v>6.446784711085507E-2</v>
      </c>
      <c r="H200" s="136">
        <v>6.5454936513591688E-2</v>
      </c>
      <c r="I200" s="136">
        <v>6.6531262669515367E-2</v>
      </c>
      <c r="J200" s="136">
        <v>6.770967797087013E-2</v>
      </c>
      <c r="K200" s="136">
        <v>6.9005665642696945E-2</v>
      </c>
      <c r="L200" s="136">
        <v>7.043806007364295E-2</v>
      </c>
      <c r="M200" s="137">
        <v>7.2030021483202811E-2</v>
      </c>
      <c r="N200" s="136">
        <v>7.3810378038925206E-2</v>
      </c>
      <c r="O200" s="136">
        <v>7.5815510934769126E-2</v>
      </c>
    </row>
    <row r="201" spans="4:15" outlineLevel="1" x14ac:dyDescent="0.3">
      <c r="D201" s="190"/>
      <c r="E201" s="133">
        <f t="shared" ca="1" si="40"/>
        <v>148751785.17913365</v>
      </c>
      <c r="F201" s="130">
        <f t="shared" si="41"/>
        <v>4.9499999999999988E-2</v>
      </c>
      <c r="G201" s="135">
        <v>7.4663224949663043E-2</v>
      </c>
      <c r="H201" s="136">
        <v>7.602925307754238E-2</v>
      </c>
      <c r="I201" s="136">
        <v>7.7514673857992378E-2</v>
      </c>
      <c r="J201" s="136">
        <v>7.913622628979744E-2</v>
      </c>
      <c r="K201" s="136">
        <v>8.0914007458742887E-2</v>
      </c>
      <c r="L201" s="136">
        <v>8.2872379494424164E-2</v>
      </c>
      <c r="M201" s="137">
        <v>8.5041194291509026E-2</v>
      </c>
      <c r="N201" s="136">
        <v>8.7457476981569915E-2</v>
      </c>
      <c r="O201" s="136">
        <v>9.0167787096274044E-2</v>
      </c>
    </row>
    <row r="202" spans="4:15" outlineLevel="1" x14ac:dyDescent="0.3">
      <c r="D202" s="190"/>
      <c r="E202" s="133">
        <f t="shared" ca="1" si="40"/>
        <v>160069855.79058951</v>
      </c>
      <c r="F202" s="130">
        <f t="shared" si="41"/>
        <v>4.5999999999999985E-2</v>
      </c>
      <c r="G202" s="138">
        <v>8.5390874064507738E-2</v>
      </c>
      <c r="H202" s="139">
        <v>8.712409482030492E-2</v>
      </c>
      <c r="I202" s="139">
        <v>8.9003967283519225E-2</v>
      </c>
      <c r="J202" s="139">
        <v>9.1050564629685304E-2</v>
      </c>
      <c r="K202" s="139">
        <v>9.328792209189718E-2</v>
      </c>
      <c r="L202" s="139">
        <v>9.5745096932156937E-2</v>
      </c>
      <c r="M202" s="137">
        <v>9.8457598361069154E-2</v>
      </c>
      <c r="N202" s="139">
        <v>0.10146935165952775</v>
      </c>
      <c r="O202" s="139">
        <v>0.10483545196714328</v>
      </c>
    </row>
    <row r="203" spans="4:15" outlineLevel="1" x14ac:dyDescent="0.3">
      <c r="D203" s="190"/>
      <c r="E203" s="133">
        <f t="shared" ca="1" si="40"/>
        <v>173252079.20863807</v>
      </c>
      <c r="F203" s="130">
        <f t="shared" si="41"/>
        <v>4.2499999999999982E-2</v>
      </c>
      <c r="G203" s="135">
        <v>9.6756294114183516E-2</v>
      </c>
      <c r="H203" s="136">
        <v>9.8847201191131218E-2</v>
      </c>
      <c r="I203" s="136">
        <v>0.10110959411782394</v>
      </c>
      <c r="J203" s="136">
        <v>0.1035664514251291</v>
      </c>
      <c r="K203" s="136">
        <v>0.10624522930744518</v>
      </c>
      <c r="L203" s="136">
        <v>0.1091790521890903</v>
      </c>
      <c r="M203" s="137">
        <v>0.11240831834969844</v>
      </c>
      <c r="N203" s="136">
        <v>0.11598290535357814</v>
      </c>
      <c r="O203" s="136">
        <v>0.11996526314516065</v>
      </c>
    </row>
    <row r="204" spans="4:15" outlineLevel="1" x14ac:dyDescent="0.3">
      <c r="D204" s="191"/>
      <c r="E204" s="134">
        <f t="shared" ca="1" si="40"/>
        <v>188800342.72736201</v>
      </c>
      <c r="F204" s="131">
        <f t="shared" si="41"/>
        <v>3.8999999999999979E-2</v>
      </c>
      <c r="G204" s="135">
        <v>0.10889164064598766</v>
      </c>
      <c r="H204" s="136">
        <v>0.11133298697121319</v>
      </c>
      <c r="I204" s="136">
        <v>0.11396864261017492</v>
      </c>
      <c r="J204" s="136">
        <v>0.11682416218841563</v>
      </c>
      <c r="K204" s="136">
        <v>0.11993003108255906</v>
      </c>
      <c r="L204" s="136">
        <v>0.12332297182146301</v>
      </c>
      <c r="M204" s="137">
        <v>0.12704770625579598</v>
      </c>
      <c r="N204" s="136">
        <v>0.13115937707289205</v>
      </c>
      <c r="O204" s="136">
        <v>0.1357269464726325</v>
      </c>
    </row>
    <row r="205" spans="4:15" outlineLevel="1" x14ac:dyDescent="0.3"/>
    <row r="206" spans="4:15" outlineLevel="1" x14ac:dyDescent="0.3">
      <c r="D206" s="121" t="str">
        <f ca="1">"Sensitivity Analysis - Leveraged IRR and Exit Year vs. LTV ("&amp;OFFSET($C$50,Scenario,0)&amp; " and Baseline Exit Cap Rate of "&amp;TEXT(OFFSET($K$31,Scenario,0),"0.0%)")</f>
        <v>Sensitivity Analysis - Leveraged IRR and Exit Year vs. LTV (Scenario #1 - Steady Growth and Baseline Exit Cap Rate of 5.5%)</v>
      </c>
    </row>
    <row r="207" spans="4:15" outlineLevel="1" x14ac:dyDescent="0.3"/>
    <row r="208" spans="4:15" outlineLevel="1" x14ac:dyDescent="0.3">
      <c r="D208" s="125"/>
      <c r="E208" s="127"/>
      <c r="F208" s="127"/>
      <c r="G208" s="128" t="s">
        <v>139</v>
      </c>
      <c r="H208" s="128"/>
      <c r="I208" s="128"/>
      <c r="J208" s="128"/>
      <c r="K208" s="128"/>
      <c r="L208" s="128"/>
      <c r="M208" s="128"/>
      <c r="N208" s="128"/>
      <c r="O208" s="129"/>
    </row>
    <row r="209" spans="4:15" outlineLevel="1" x14ac:dyDescent="0.3">
      <c r="D209" s="126"/>
      <c r="E209" s="140" t="s">
        <v>140</v>
      </c>
      <c r="F209" s="122">
        <f ca="1">+$F$152</f>
        <v>6.4733403262244416E-2</v>
      </c>
      <c r="G209" s="123">
        <f>+G197</f>
        <v>0.55000000000000004</v>
      </c>
      <c r="H209" s="123">
        <f t="shared" ref="H209:O209" si="42">+H197</f>
        <v>0.57500000000000007</v>
      </c>
      <c r="I209" s="123">
        <f t="shared" si="42"/>
        <v>0.60000000000000009</v>
      </c>
      <c r="J209" s="123">
        <f t="shared" si="42"/>
        <v>0.62500000000000011</v>
      </c>
      <c r="K209" s="123">
        <f t="shared" si="42"/>
        <v>0.65000000000000013</v>
      </c>
      <c r="L209" s="123">
        <f t="shared" si="42"/>
        <v>0.67500000000000016</v>
      </c>
      <c r="M209" s="123">
        <f t="shared" si="42"/>
        <v>0.70000000000000018</v>
      </c>
      <c r="N209" s="123">
        <f t="shared" si="42"/>
        <v>0.7250000000000002</v>
      </c>
      <c r="O209" s="124">
        <f t="shared" si="42"/>
        <v>0.75000000000000022</v>
      </c>
    </row>
    <row r="210" spans="4:15" outlineLevel="1" x14ac:dyDescent="0.3">
      <c r="D210" s="189" t="s">
        <v>142</v>
      </c>
      <c r="E210" s="132">
        <f t="shared" ref="E210:E219" ca="1" si="43">INDEX($G$88:$Q$104,ROWS($G$88:$Q$104),MATCH(F210,$G$88:$Q$88,0)+1)/Exit_Cap_Rate</f>
        <v>102605271.41454548</v>
      </c>
      <c r="F210" s="141">
        <f t="array" ref="F210:F219">TRANSPOSE(G88:P88)</f>
        <v>42369</v>
      </c>
      <c r="G210" s="135">
        <f t="dataTable" ref="G210:O219" dt2D="1" dtr="1" r1="E34" r2="K25" ca="1"/>
        <v>-0.37995202573327624</v>
      </c>
      <c r="H210" s="136">
        <v>-0.40579533841064053</v>
      </c>
      <c r="I210" s="136">
        <v>-0.43471375680321989</v>
      </c>
      <c r="J210" s="136">
        <v>-0.46729086327358271</v>
      </c>
      <c r="K210" s="136">
        <v>-0.50426787907623183</v>
      </c>
      <c r="L210" s="136">
        <v>-0.5466007464728273</v>
      </c>
      <c r="M210" s="137">
        <v>-0.59554395120737724</v>
      </c>
      <c r="N210" s="136">
        <v>-0.65277693741108067</v>
      </c>
      <c r="O210" s="136">
        <v>-0.72060070050107705</v>
      </c>
    </row>
    <row r="211" spans="4:15" outlineLevel="1" x14ac:dyDescent="0.3">
      <c r="D211" s="192"/>
      <c r="E211" s="133">
        <f t="shared" ca="1" si="43"/>
        <v>105683429.55698182</v>
      </c>
      <c r="F211" s="141">
        <v>42735</v>
      </c>
      <c r="G211" s="135">
        <v>-0.15612818204754919</v>
      </c>
      <c r="H211" s="136">
        <v>-0.16958471055886348</v>
      </c>
      <c r="I211" s="136">
        <v>-0.18485965432799367</v>
      </c>
      <c r="J211" s="136">
        <v>-0.20235649519558474</v>
      </c>
      <c r="K211" s="136">
        <v>-0.22261109478900176</v>
      </c>
      <c r="L211" s="136">
        <v>-0.24635290763743933</v>
      </c>
      <c r="M211" s="137">
        <v>-0.27460530755665225</v>
      </c>
      <c r="N211" s="136">
        <v>-0.30885952111389281</v>
      </c>
      <c r="O211" s="136">
        <v>-0.35139925812503381</v>
      </c>
    </row>
    <row r="212" spans="4:15" outlineLevel="1" x14ac:dyDescent="0.3">
      <c r="D212" s="192"/>
      <c r="E212" s="133">
        <f t="shared" ca="1" si="43"/>
        <v>108853932.44369128</v>
      </c>
      <c r="F212" s="141">
        <v>43100</v>
      </c>
      <c r="G212" s="135">
        <v>-6.744185927352786E-2</v>
      </c>
      <c r="H212" s="136">
        <v>-7.4825699164697279E-2</v>
      </c>
      <c r="I212" s="136">
        <v>-8.3183979900611105E-2</v>
      </c>
      <c r="J212" s="136">
        <v>-9.2725552271369249E-2</v>
      </c>
      <c r="K212" s="136">
        <v>-0.10372443065662462</v>
      </c>
      <c r="L212" s="136">
        <v>-0.11654782508436179</v>
      </c>
      <c r="M212" s="137">
        <v>-0.13170033564241335</v>
      </c>
      <c r="N212" s="136">
        <v>-0.14989664397025271</v>
      </c>
      <c r="O212" s="136">
        <v>-0.17218748912059167</v>
      </c>
    </row>
    <row r="213" spans="4:15" outlineLevel="1" x14ac:dyDescent="0.3">
      <c r="D213" s="192"/>
      <c r="E213" s="133">
        <f t="shared" ca="1" si="43"/>
        <v>112119550.41700204</v>
      </c>
      <c r="F213" s="141">
        <v>43465</v>
      </c>
      <c r="G213" s="135">
        <v>-2.1380055503060436E-2</v>
      </c>
      <c r="H213" s="136">
        <v>-2.5557130942314488E-2</v>
      </c>
      <c r="I213" s="136">
        <v>-3.0259212883343878E-2</v>
      </c>
      <c r="J213" s="136">
        <v>-3.5592372293664742E-2</v>
      </c>
      <c r="K213" s="136">
        <v>-4.169347403457313E-2</v>
      </c>
      <c r="L213" s="136">
        <v>-4.8742300391261373E-2</v>
      </c>
      <c r="M213" s="137">
        <v>-5.6979938072274527E-2</v>
      </c>
      <c r="N213" s="136">
        <v>-6.6737597199528542E-2</v>
      </c>
      <c r="O213" s="136">
        <v>-7.8483573757492597E-2</v>
      </c>
    </row>
    <row r="214" spans="4:15" outlineLevel="1" x14ac:dyDescent="0.3">
      <c r="D214" s="192"/>
      <c r="E214" s="133">
        <f t="shared" ca="1" si="43"/>
        <v>115483136.92951213</v>
      </c>
      <c r="F214" s="141">
        <v>43830</v>
      </c>
      <c r="G214" s="138">
        <v>6.1600619668451539E-3</v>
      </c>
      <c r="H214" s="139">
        <v>3.8374953307875881E-3</v>
      </c>
      <c r="I214" s="139">
        <v>1.2382923109512944E-3</v>
      </c>
      <c r="J214" s="139">
        <v>-1.6901112352498693E-3</v>
      </c>
      <c r="K214" s="139">
        <v>-5.0145002341981382E-3</v>
      </c>
      <c r="L214" s="139">
        <v>-8.8210398167034576E-3</v>
      </c>
      <c r="M214" s="137">
        <v>-1.322285755871877E-2</v>
      </c>
      <c r="N214" s="139">
        <v>-1.8371489214338066E-2</v>
      </c>
      <c r="O214" s="139">
        <v>-2.4474699113838927E-2</v>
      </c>
    </row>
    <row r="215" spans="4:15" outlineLevel="1" x14ac:dyDescent="0.3">
      <c r="D215" s="192"/>
      <c r="E215" s="133">
        <f t="shared" ca="1" si="43"/>
        <v>118947631.03739746</v>
      </c>
      <c r="F215" s="141">
        <v>44196</v>
      </c>
      <c r="G215" s="135">
        <v>2.410152814925115E-2</v>
      </c>
      <c r="H215" s="136">
        <v>2.292177129091022E-2</v>
      </c>
      <c r="I215" s="136">
        <v>2.1608784389682389E-2</v>
      </c>
      <c r="J215" s="136">
        <v>2.0138685721542871E-2</v>
      </c>
      <c r="K215" s="136">
        <v>1.8481533966421271E-2</v>
      </c>
      <c r="L215" s="136">
        <v>1.6599280417580742E-2</v>
      </c>
      <c r="M215" s="137">
        <v>1.4442832738396971E-2</v>
      </c>
      <c r="N215" s="136">
        <v>1.1947746923357316E-2</v>
      </c>
      <c r="O215" s="136">
        <v>9.0277394325510851E-3</v>
      </c>
    </row>
    <row r="216" spans="4:15" outlineLevel="1" x14ac:dyDescent="0.3">
      <c r="D216" s="192"/>
      <c r="E216" s="133">
        <f t="shared" ca="1" si="43"/>
        <v>122516059.96851937</v>
      </c>
      <c r="F216" s="141">
        <v>44561</v>
      </c>
      <c r="G216" s="135">
        <v>3.6483927264864269E-2</v>
      </c>
      <c r="H216" s="136">
        <v>3.6040054664751242E-2</v>
      </c>
      <c r="I216" s="136">
        <v>3.5548546217878174E-2</v>
      </c>
      <c r="J216" s="136">
        <v>3.5001310326131518E-2</v>
      </c>
      <c r="K216" s="136">
        <v>3.4388315909349876E-2</v>
      </c>
      <c r="L216" s="136">
        <v>3.3696975411015462E-2</v>
      </c>
      <c r="M216" s="137">
        <v>3.2911276800130063E-2</v>
      </c>
      <c r="N216" s="136">
        <v>3.2010537091685887E-2</v>
      </c>
      <c r="O216" s="136">
        <v>3.096757036482245E-2</v>
      </c>
    </row>
    <row r="217" spans="4:15" outlineLevel="1" x14ac:dyDescent="0.3">
      <c r="D217" s="192"/>
      <c r="E217" s="133">
        <f t="shared" ca="1" si="43"/>
        <v>126191541.76757498</v>
      </c>
      <c r="F217" s="141">
        <v>44926</v>
      </c>
      <c r="G217" s="136">
        <v>4.5390600680898618E-2</v>
      </c>
      <c r="H217" s="136">
        <v>4.5435240294962487E-2</v>
      </c>
      <c r="I217" s="136">
        <v>4.5484445562123277E-2</v>
      </c>
      <c r="J217" s="136">
        <v>4.5538954866441328E-2</v>
      </c>
      <c r="K217" s="136">
        <v>4.5599674932299772E-2</v>
      </c>
      <c r="L217" s="136">
        <v>4.5667731713668669E-2</v>
      </c>
      <c r="M217" s="137">
        <v>4.5744540938845502E-2</v>
      </c>
      <c r="N217" s="136">
        <v>4.5831907780884418E-2</v>
      </c>
      <c r="O217" s="136">
        <v>4.5932170726660448E-2</v>
      </c>
    </row>
    <row r="218" spans="4:15" outlineLevel="1" x14ac:dyDescent="0.3">
      <c r="D218" s="192"/>
      <c r="E218" s="133">
        <f t="shared" ca="1" si="43"/>
        <v>129977288.02060221</v>
      </c>
      <c r="F218" s="141">
        <v>45291</v>
      </c>
      <c r="G218" s="136">
        <v>5.1998999407296687E-2</v>
      </c>
      <c r="H218" s="136">
        <v>5.2374635514931711E-2</v>
      </c>
      <c r="I218" s="136">
        <v>5.2786994756168326E-2</v>
      </c>
      <c r="J218" s="136">
        <v>5.3241757118360988E-2</v>
      </c>
      <c r="K218" s="136">
        <v>5.3745841941339467E-2</v>
      </c>
      <c r="L218" s="136">
        <v>5.4307766819633008E-2</v>
      </c>
      <c r="M218" s="137">
        <v>5.4938139452976431E-2</v>
      </c>
      <c r="N218" s="136">
        <v>5.5650343968206117E-2</v>
      </c>
      <c r="O218" s="136">
        <v>5.6461518257367782E-2</v>
      </c>
    </row>
    <row r="219" spans="4:15" outlineLevel="1" x14ac:dyDescent="0.3">
      <c r="D219" s="192"/>
      <c r="E219" s="134">
        <f t="shared" ca="1" si="43"/>
        <v>133876606.66122027</v>
      </c>
      <c r="F219" s="142">
        <v>45657</v>
      </c>
      <c r="G219" s="136">
        <v>5.8847163083228349E-2</v>
      </c>
      <c r="H219" s="136">
        <v>5.9611561819461922E-2</v>
      </c>
      <c r="I219" s="136">
        <v>6.0446457329431436E-2</v>
      </c>
      <c r="J219" s="136">
        <v>6.1362174585094076E-2</v>
      </c>
      <c r="K219" s="136">
        <v>6.2371180652367464E-2</v>
      </c>
      <c r="L219" s="136">
        <v>6.3488677143203276E-2</v>
      </c>
      <c r="M219" s="137">
        <v>6.4733403262244416E-2</v>
      </c>
      <c r="N219" s="136">
        <v>6.6128743430215131E-2</v>
      </c>
      <c r="O219" s="136">
        <v>6.7704285324684088E-2</v>
      </c>
    </row>
    <row r="220" spans="4:15" outlineLevel="1" x14ac:dyDescent="0.3"/>
    <row r="221" spans="4:15" outlineLevel="1" x14ac:dyDescent="0.3">
      <c r="D221" s="121" t="str">
        <f ca="1">"Sensitivity Analysis - Leveraged IRR and Exit Year vs. Exit Cap Rate ("&amp;OFFSET($C$50,Scenario,0)&amp;" and Baseline Exit Cap Rate of "&amp;TEXT(OFFSET($K$31,Scenario,0),"0.0%")&amp;" Used for Property Value Column)"</f>
        <v>Sensitivity Analysis - Leveraged IRR and Exit Year vs. Exit Cap Rate (Scenario #1 - Steady Growth and Baseline Exit Cap Rate of 5.5% Used for Property Value Column)</v>
      </c>
    </row>
    <row r="222" spans="4:15" outlineLevel="1" x14ac:dyDescent="0.3"/>
    <row r="223" spans="4:15" outlineLevel="1" x14ac:dyDescent="0.3">
      <c r="D223" s="125"/>
      <c r="E223" s="127"/>
      <c r="F223" s="127"/>
      <c r="G223" s="128" t="s">
        <v>92</v>
      </c>
      <c r="H223" s="128"/>
      <c r="I223" s="128"/>
      <c r="J223" s="128"/>
      <c r="K223" s="128"/>
      <c r="L223" s="128"/>
      <c r="M223" s="128"/>
      <c r="N223" s="128"/>
      <c r="O223" s="129"/>
    </row>
    <row r="224" spans="4:15" outlineLevel="1" x14ac:dyDescent="0.3">
      <c r="D224" s="126"/>
      <c r="E224" s="140" t="s">
        <v>140</v>
      </c>
      <c r="F224" s="122">
        <f ca="1">+$F$152</f>
        <v>6.4733403262244416E-2</v>
      </c>
      <c r="G224" s="143">
        <v>0.06</v>
      </c>
      <c r="H224" s="143">
        <f>+G224-0.25%</f>
        <v>5.7499999999999996E-2</v>
      </c>
      <c r="I224" s="143">
        <f t="shared" ref="I224:O224" si="44">+H224-0.25%</f>
        <v>5.4999999999999993E-2</v>
      </c>
      <c r="J224" s="143">
        <f t="shared" si="44"/>
        <v>5.2499999999999991E-2</v>
      </c>
      <c r="K224" s="143">
        <f t="shared" si="44"/>
        <v>4.9999999999999989E-2</v>
      </c>
      <c r="L224" s="143">
        <f t="shared" si="44"/>
        <v>4.7499999999999987E-2</v>
      </c>
      <c r="M224" s="143">
        <f t="shared" si="44"/>
        <v>4.4999999999999984E-2</v>
      </c>
      <c r="N224" s="143">
        <f t="shared" si="44"/>
        <v>4.2499999999999982E-2</v>
      </c>
      <c r="O224" s="144">
        <f t="shared" si="44"/>
        <v>3.999999999999998E-2</v>
      </c>
    </row>
    <row r="225" spans="4:15" outlineLevel="1" x14ac:dyDescent="0.3">
      <c r="D225" s="189" t="s">
        <v>142</v>
      </c>
      <c r="E225" s="132">
        <f t="shared" ref="E225:E234" ca="1" si="45">INDEX($G$88:$Q$104,ROWS($G$88:$Q$104),MATCH(F210,$G$88:$Q$88,0)+1)/Exit_Cap_Rate</f>
        <v>102605271.41454548</v>
      </c>
      <c r="F225" s="141">
        <f t="array" ref="F225:F234">TRANSPOSE(G88:P88)</f>
        <v>42369</v>
      </c>
      <c r="G225" s="135">
        <f t="dataTable" ref="G225:O234" dt2D="1" dtr="1" r1="K26" r2="K25" ca="1"/>
        <v>-0.81582340701322709</v>
      </c>
      <c r="H225" s="136">
        <v>-0.71047236293216809</v>
      </c>
      <c r="I225" s="137">
        <v>-0.59554395120737669</v>
      </c>
      <c r="J225" s="136">
        <v>-0.46966997646117625</v>
      </c>
      <c r="K225" s="136">
        <v>-0.33120860424035581</v>
      </c>
      <c r="L225" s="136">
        <v>-0.17817235073313298</v>
      </c>
      <c r="M225" s="136">
        <v>-8.1320690584413269E-3</v>
      </c>
      <c r="N225" s="136">
        <v>0.18191295163680277</v>
      </c>
      <c r="O225" s="136">
        <v>0.3957135999189525</v>
      </c>
    </row>
    <row r="226" spans="4:15" outlineLevel="1" x14ac:dyDescent="0.3">
      <c r="D226" s="192"/>
      <c r="E226" s="133">
        <f t="shared" ca="1" si="45"/>
        <v>105683429.55698182</v>
      </c>
      <c r="F226" s="141">
        <v>42735</v>
      </c>
      <c r="G226" s="135">
        <v>-0.45209706150866513</v>
      </c>
      <c r="H226" s="136">
        <v>-0.36105266192543128</v>
      </c>
      <c r="I226" s="137">
        <v>-0.27460530755665191</v>
      </c>
      <c r="J226" s="136">
        <v>-0.19041588122191888</v>
      </c>
      <c r="K226" s="136">
        <v>-0.10690211581765108</v>
      </c>
      <c r="L226" s="136">
        <v>-2.284564749969098E-2</v>
      </c>
      <c r="M226" s="136">
        <v>6.2799898936476417E-2</v>
      </c>
      <c r="N226" s="136">
        <v>0.15102068562881077</v>
      </c>
      <c r="O226" s="136">
        <v>0.24282098471743541</v>
      </c>
    </row>
    <row r="227" spans="4:15" outlineLevel="1" x14ac:dyDescent="0.3">
      <c r="D227" s="192"/>
      <c r="E227" s="133">
        <f t="shared" ca="1" si="45"/>
        <v>108853932.44369128</v>
      </c>
      <c r="F227" s="141">
        <v>43100</v>
      </c>
      <c r="G227" s="135">
        <v>-0.24990031090786546</v>
      </c>
      <c r="H227" s="136">
        <v>-0.18907302069965071</v>
      </c>
      <c r="I227" s="137">
        <v>-0.13170033564241301</v>
      </c>
      <c r="J227" s="136">
        <v>-7.6490587459633774E-2</v>
      </c>
      <c r="K227" s="136">
        <v>-2.2518740492436962E-2</v>
      </c>
      <c r="L227" s="136">
        <v>3.0937463481146343E-2</v>
      </c>
      <c r="M227" s="136">
        <v>8.4488342852568898E-2</v>
      </c>
      <c r="N227" s="136">
        <v>0.13868905663015019</v>
      </c>
      <c r="O227" s="136">
        <v>0.19408009900417844</v>
      </c>
    </row>
    <row r="228" spans="4:15" outlineLevel="1" x14ac:dyDescent="0.3">
      <c r="D228" s="192"/>
      <c r="E228" s="133">
        <f t="shared" ca="1" si="45"/>
        <v>112119550.41700204</v>
      </c>
      <c r="F228" s="141">
        <v>43465</v>
      </c>
      <c r="G228" s="135">
        <v>-0.13841659066245193</v>
      </c>
      <c r="H228" s="136">
        <v>-9.6718967319660454E-2</v>
      </c>
      <c r="I228" s="137">
        <v>-5.6979938072274083E-2</v>
      </c>
      <c r="J228" s="136">
        <v>-1.8541219794620201E-2</v>
      </c>
      <c r="K228" s="136">
        <v>1.9103900567562393E-2</v>
      </c>
      <c r="L228" s="136">
        <v>5.63717585950958E-2</v>
      </c>
      <c r="M228" s="136">
        <v>9.3626478949172087E-2</v>
      </c>
      <c r="N228" s="136">
        <v>0.13120628291316705</v>
      </c>
      <c r="O228" s="136">
        <v>0.16944384324917872</v>
      </c>
    </row>
    <row r="229" spans="4:15" outlineLevel="1" x14ac:dyDescent="0.3">
      <c r="D229" s="192"/>
      <c r="E229" s="133">
        <f t="shared" ca="1" si="45"/>
        <v>115483136.92951213</v>
      </c>
      <c r="F229" s="141">
        <v>43830</v>
      </c>
      <c r="G229" s="138">
        <v>-7.2022632208437742E-2</v>
      </c>
      <c r="H229" s="139">
        <v>-4.2095198652795984E-2</v>
      </c>
      <c r="I229" s="137">
        <v>-1.322285755871877E-2</v>
      </c>
      <c r="J229" s="139">
        <v>1.4943968657987305E-2</v>
      </c>
      <c r="K229" s="139">
        <v>4.2692710083381824E-2</v>
      </c>
      <c r="L229" s="139">
        <v>7.0272581126220146E-2</v>
      </c>
      <c r="M229" s="139">
        <v>9.7911214868851904E-2</v>
      </c>
      <c r="N229" s="139">
        <v>0.12582736890194957</v>
      </c>
      <c r="O229" s="139">
        <v>0.15424175974549326</v>
      </c>
    </row>
    <row r="230" spans="4:15" outlineLevel="1" x14ac:dyDescent="0.3">
      <c r="D230" s="192"/>
      <c r="E230" s="133">
        <f t="shared" ca="1" si="45"/>
        <v>118947631.03739746</v>
      </c>
      <c r="F230" s="141">
        <v>44196</v>
      </c>
      <c r="G230" s="135">
        <v>-2.9752183976188951E-2</v>
      </c>
      <c r="H230" s="136">
        <v>-7.3819476443577337E-3</v>
      </c>
      <c r="I230" s="137">
        <v>1.4442832738396971E-2</v>
      </c>
      <c r="J230" s="136">
        <v>3.5919616216463668E-2</v>
      </c>
      <c r="K230" s="136">
        <v>5.7220689318849383E-2</v>
      </c>
      <c r="L230" s="136">
        <v>7.8503303076418396E-2</v>
      </c>
      <c r="M230" s="136">
        <v>9.9917515933929835E-2</v>
      </c>
      <c r="N230" s="136">
        <v>0.12161286210644895</v>
      </c>
      <c r="O230" s="136">
        <v>0.14374464808272536</v>
      </c>
    </row>
    <row r="231" spans="4:15" outlineLevel="1" x14ac:dyDescent="0.3">
      <c r="D231" s="192"/>
      <c r="E231" s="133">
        <f t="shared" ca="1" si="45"/>
        <v>122516059.96851937</v>
      </c>
      <c r="F231" s="141">
        <v>44561</v>
      </c>
      <c r="G231" s="135">
        <v>-1.4041684863225212E-3</v>
      </c>
      <c r="H231" s="136">
        <v>1.5881794063099974E-2</v>
      </c>
      <c r="I231" s="137">
        <v>3.2911276800130063E-2</v>
      </c>
      <c r="J231" s="136">
        <v>4.980328793080524E-2</v>
      </c>
      <c r="K231" s="136">
        <v>6.6667400872527649E-2</v>
      </c>
      <c r="L231" s="136">
        <v>8.3608493489968794E-2</v>
      </c>
      <c r="M231" s="136">
        <v>0.10073084329310689</v>
      </c>
      <c r="N231" s="136">
        <v>0.11814200720038781</v>
      </c>
      <c r="O231" s="136">
        <v>0.13595685689607695</v>
      </c>
    </row>
    <row r="232" spans="4:15" outlineLevel="1" x14ac:dyDescent="0.3">
      <c r="D232" s="192"/>
      <c r="E232" s="133">
        <f t="shared" ca="1" si="45"/>
        <v>126191541.76757498</v>
      </c>
      <c r="F232" s="141">
        <v>44926</v>
      </c>
      <c r="G232" s="136">
        <v>1.839080704729068E-2</v>
      </c>
      <c r="H232" s="136">
        <v>3.2112715800541647E-2</v>
      </c>
      <c r="I232" s="137">
        <v>4.5744540938845724E-2</v>
      </c>
      <c r="J232" s="136">
        <v>5.9362785753310776E-2</v>
      </c>
      <c r="K232" s="136">
        <v>7.3041379939742468E-2</v>
      </c>
      <c r="L232" s="136">
        <v>8.6854173246005528E-2</v>
      </c>
      <c r="M232" s="136">
        <v>0.10087734119431446</v>
      </c>
      <c r="N232" s="136">
        <v>0.11519190295607529</v>
      </c>
      <c r="O232" s="136">
        <v>0.12988656154991829</v>
      </c>
    </row>
    <row r="233" spans="4:15" outlineLevel="1" x14ac:dyDescent="0.3">
      <c r="D233" s="192"/>
      <c r="E233" s="133">
        <f t="shared" ca="1" si="45"/>
        <v>129977288.02060221</v>
      </c>
      <c r="F233" s="141">
        <v>45291</v>
      </c>
      <c r="G233" s="136">
        <v>3.2660685616721974E-2</v>
      </c>
      <c r="H233" s="136">
        <v>4.379604038966689E-2</v>
      </c>
      <c r="I233" s="137">
        <v>5.4938139452976209E-2</v>
      </c>
      <c r="J233" s="136">
        <v>6.6139349034417094E-2</v>
      </c>
      <c r="K233" s="136">
        <v>7.7452468214912473E-2</v>
      </c>
      <c r="L233" s="136">
        <v>8.8932226470489706E-2</v>
      </c>
      <c r="M233" s="136">
        <v>0.10063687745324001</v>
      </c>
      <c r="N233" s="136">
        <v>0.11263000631270903</v>
      </c>
      <c r="O233" s="136">
        <v>0.12498269389648708</v>
      </c>
    </row>
    <row r="234" spans="4:15" outlineLevel="1" x14ac:dyDescent="0.3">
      <c r="D234" s="193"/>
      <c r="E234" s="134">
        <f t="shared" ca="1" si="45"/>
        <v>133876606.66122027</v>
      </c>
      <c r="F234" s="142">
        <v>45657</v>
      </c>
      <c r="G234" s="136">
        <v>4.6786572000070858E-2</v>
      </c>
      <c r="H234" s="136">
        <v>5.5717987417955417E-2</v>
      </c>
      <c r="I234" s="137">
        <v>6.4733403262244638E-2</v>
      </c>
      <c r="J234" s="136">
        <v>7.386833816230709E-2</v>
      </c>
      <c r="K234" s="136">
        <v>8.3160410211565727E-2</v>
      </c>
      <c r="L234" s="136">
        <v>9.2650287067561177E-2</v>
      </c>
      <c r="M234" s="136">
        <v>0.10238280243151832</v>
      </c>
      <c r="N234" s="136">
        <v>0.11240831834969867</v>
      </c>
      <c r="O234" s="136">
        <v>0.12278444177999281</v>
      </c>
    </row>
    <row r="235" spans="4:15" outlineLevel="1" x14ac:dyDescent="0.3"/>
    <row r="236" spans="4:15" outlineLevel="1" x14ac:dyDescent="0.3">
      <c r="D236" s="121" t="str">
        <f ca="1">"Sensitivity Analysis - Implied Value of Property from DCF Analysis and Discount Rate vs. Terminal Cap Rate ("&amp;OFFSET($C$50,Scenario,0)&amp;")"</f>
        <v>Sensitivity Analysis - Implied Value of Property from DCF Analysis and Discount Rate vs. Terminal Cap Rate (Scenario #1 - Steady Growth)</v>
      </c>
    </row>
    <row r="237" spans="4:15" outlineLevel="1" x14ac:dyDescent="0.3"/>
    <row r="238" spans="4:15" outlineLevel="1" x14ac:dyDescent="0.3">
      <c r="D238" s="125"/>
      <c r="E238" s="127"/>
      <c r="F238" s="127"/>
      <c r="G238" s="128" t="s">
        <v>153</v>
      </c>
      <c r="H238" s="128"/>
      <c r="I238" s="128"/>
      <c r="J238" s="128"/>
      <c r="K238" s="128"/>
      <c r="L238" s="128"/>
      <c r="M238" s="128"/>
      <c r="N238" s="128"/>
      <c r="O238" s="129"/>
    </row>
    <row r="239" spans="4:15" outlineLevel="1" x14ac:dyDescent="0.3">
      <c r="D239" s="126"/>
      <c r="E239" s="140"/>
      <c r="F239" s="122">
        <f ca="1">+$D$173</f>
        <v>116802318.88926524</v>
      </c>
      <c r="G239" s="143">
        <v>5.5E-2</v>
      </c>
      <c r="H239" s="143">
        <f>+G239+0.25%</f>
        <v>5.7500000000000002E-2</v>
      </c>
      <c r="I239" s="143">
        <f t="shared" ref="I239:O239" si="46">+H239+0.25%</f>
        <v>6.0000000000000005E-2</v>
      </c>
      <c r="J239" s="143">
        <f t="shared" si="46"/>
        <v>6.25E-2</v>
      </c>
      <c r="K239" s="143">
        <f t="shared" si="46"/>
        <v>6.5000000000000002E-2</v>
      </c>
      <c r="L239" s="143">
        <f t="shared" si="46"/>
        <v>6.7500000000000004E-2</v>
      </c>
      <c r="M239" s="143">
        <f t="shared" si="46"/>
        <v>7.0000000000000007E-2</v>
      </c>
      <c r="N239" s="143">
        <f t="shared" si="46"/>
        <v>7.2500000000000009E-2</v>
      </c>
      <c r="O239" s="144">
        <f t="shared" si="46"/>
        <v>7.5000000000000011E-2</v>
      </c>
    </row>
    <row r="240" spans="4:15" outlineLevel="1" x14ac:dyDescent="0.3">
      <c r="D240" s="189" t="s">
        <v>154</v>
      </c>
      <c r="E240" s="132">
        <f ca="1">+$Q$182/F240</f>
        <v>122720222.77278525</v>
      </c>
      <c r="F240" s="130">
        <f>+F198</f>
        <v>0.06</v>
      </c>
      <c r="G240" s="152">
        <f t="dataTable" ref="G240:O246" dt2D="1" dtr="1" r1="D163" r2="D167" ca="1"/>
        <v>113023165.62493449</v>
      </c>
      <c r="H240" s="153">
        <v>110876925.51676978</v>
      </c>
      <c r="I240" s="153">
        <v>108782020.04804702</v>
      </c>
      <c r="J240" s="153">
        <v>106737066.63287866</v>
      </c>
      <c r="K240" s="153">
        <v>104740723.50347774</v>
      </c>
      <c r="L240" s="153">
        <v>102791688.40600404</v>
      </c>
      <c r="M240" s="154">
        <v>100888697.34113945</v>
      </c>
      <c r="N240" s="153">
        <v>99030523.347754955</v>
      </c>
      <c r="O240" s="153">
        <v>97215975.328095496</v>
      </c>
    </row>
    <row r="241" spans="4:15" outlineLevel="1" x14ac:dyDescent="0.3">
      <c r="D241" s="190"/>
      <c r="E241" s="133">
        <f t="shared" ref="E241:E246" ca="1" si="47">+$Q$182/F241</f>
        <v>130322360.46667461</v>
      </c>
      <c r="F241" s="130">
        <f t="shared" ref="F241:F246" si="48">+F199</f>
        <v>5.6499999999999995E-2</v>
      </c>
      <c r="G241" s="155">
        <v>117473689.49995659</v>
      </c>
      <c r="H241" s="156">
        <v>115223348.32506505</v>
      </c>
      <c r="I241" s="156">
        <v>113027014.02970438</v>
      </c>
      <c r="J241" s="156">
        <v>110883229.37103178</v>
      </c>
      <c r="K241" s="156">
        <v>108790580.1786246</v>
      </c>
      <c r="L241" s="156">
        <v>106747693.97718981</v>
      </c>
      <c r="M241" s="157">
        <v>104753238.65653875</v>
      </c>
      <c r="N241" s="156">
        <v>102805921.18709663</v>
      </c>
      <c r="O241" s="156">
        <v>100904486.37928231</v>
      </c>
    </row>
    <row r="242" spans="4:15" outlineLevel="1" x14ac:dyDescent="0.3">
      <c r="D242" s="190"/>
      <c r="E242" s="133">
        <f t="shared" ca="1" si="47"/>
        <v>138928554.08239841</v>
      </c>
      <c r="F242" s="130">
        <f t="shared" si="48"/>
        <v>5.2999999999999992E-2</v>
      </c>
      <c r="G242" s="155">
        <v>122512018.41507596</v>
      </c>
      <c r="H242" s="156">
        <v>120143826.97596535</v>
      </c>
      <c r="I242" s="156">
        <v>117832667.59384479</v>
      </c>
      <c r="J242" s="156">
        <v>115576998.50856359</v>
      </c>
      <c r="K242" s="156">
        <v>113375323.58445123</v>
      </c>
      <c r="L242" s="156">
        <v>111226190.85023029</v>
      </c>
      <c r="M242" s="157">
        <v>109128191.0890663</v>
      </c>
      <c r="N242" s="156">
        <v>107079956.47691739</v>
      </c>
      <c r="O242" s="156">
        <v>105080159.26741832</v>
      </c>
    </row>
    <row r="243" spans="4:15" outlineLevel="1" x14ac:dyDescent="0.3">
      <c r="D243" s="190"/>
      <c r="E243" s="133">
        <f t="shared" ca="1" si="47"/>
        <v>148751785.17913365</v>
      </c>
      <c r="F243" s="130">
        <f t="shared" si="48"/>
        <v>4.9499999999999988E-2</v>
      </c>
      <c r="G243" s="155">
        <v>128262838.28788896</v>
      </c>
      <c r="H243" s="156">
        <v>125760130.89062934</v>
      </c>
      <c r="I243" s="156">
        <v>123317908.53069191</v>
      </c>
      <c r="J243" s="156">
        <v>120934532.97867565</v>
      </c>
      <c r="K243" s="156">
        <v>118608414.54261696</v>
      </c>
      <c r="L243" s="156">
        <v>116338010.51339771</v>
      </c>
      <c r="M243" s="157">
        <v>114121823.66356739</v>
      </c>
      <c r="N243" s="156">
        <v>111958400.79762191</v>
      </c>
      <c r="O243" s="156">
        <v>109846331.35185641</v>
      </c>
    </row>
    <row r="244" spans="4:15" outlineLevel="1" x14ac:dyDescent="0.3">
      <c r="D244" s="190"/>
      <c r="E244" s="133">
        <f t="shared" ca="1" si="47"/>
        <v>160069855.79058951</v>
      </c>
      <c r="F244" s="130">
        <f t="shared" si="48"/>
        <v>4.5999999999999985E-2</v>
      </c>
      <c r="G244" s="158">
        <v>134888782.92395613</v>
      </c>
      <c r="H244" s="157">
        <v>132231089.74882916</v>
      </c>
      <c r="I244" s="157">
        <v>129637860.04488535</v>
      </c>
      <c r="J244" s="157">
        <v>127107344.43337001</v>
      </c>
      <c r="K244" s="157">
        <v>124637845.42919925</v>
      </c>
      <c r="L244" s="157">
        <v>122227715.77748193</v>
      </c>
      <c r="M244" s="157">
        <v>119875356.84723172</v>
      </c>
      <c r="N244" s="157">
        <v>117579217.08017278</v>
      </c>
      <c r="O244" s="157">
        <v>115337790.49262202</v>
      </c>
    </row>
    <row r="245" spans="4:15" outlineLevel="1" x14ac:dyDescent="0.3">
      <c r="D245" s="190"/>
      <c r="E245" s="133">
        <f t="shared" ca="1" si="47"/>
        <v>173252079.20863807</v>
      </c>
      <c r="F245" s="130">
        <f t="shared" si="48"/>
        <v>4.2499999999999982E-2</v>
      </c>
      <c r="G245" s="155">
        <v>142606059.61772847</v>
      </c>
      <c r="H245" s="156">
        <v>139767853.59543836</v>
      </c>
      <c r="I245" s="156">
        <v>136998744.74965182</v>
      </c>
      <c r="J245" s="156">
        <v>134296854.2453081</v>
      </c>
      <c r="K245" s="156">
        <v>131660359.05004214</v>
      </c>
      <c r="L245" s="156">
        <v>129087490.14388588</v>
      </c>
      <c r="M245" s="157">
        <v>126576530.79055843</v>
      </c>
      <c r="N245" s="156">
        <v>124125814.86808494</v>
      </c>
      <c r="O245" s="156">
        <v>121733725.25657257</v>
      </c>
    </row>
    <row r="246" spans="4:15" outlineLevel="1" x14ac:dyDescent="0.3">
      <c r="D246" s="191"/>
      <c r="E246" s="134">
        <f t="shared" ca="1" si="47"/>
        <v>188800342.72736201</v>
      </c>
      <c r="F246" s="131">
        <f t="shared" si="48"/>
        <v>3.8999999999999979E-2</v>
      </c>
      <c r="G246" s="155">
        <v>151708488.53858817</v>
      </c>
      <c r="H246" s="156">
        <v>148657369.92733634</v>
      </c>
      <c r="I246" s="156">
        <v>145680813.88860714</v>
      </c>
      <c r="J246" s="156">
        <v>142776788.89528641</v>
      </c>
      <c r="K246" s="156">
        <v>139943323.8336004</v>
      </c>
      <c r="L246" s="156">
        <v>137178506.06323415</v>
      </c>
      <c r="M246" s="157">
        <v>134480479.54422578</v>
      </c>
      <c r="N246" s="156">
        <v>131847443.02818647</v>
      </c>
      <c r="O246" s="156">
        <v>129277648.31148857</v>
      </c>
    </row>
  </sheetData>
  <mergeCells count="4">
    <mergeCell ref="D240:D246"/>
    <mergeCell ref="D198:D204"/>
    <mergeCell ref="D210:D219"/>
    <mergeCell ref="D225:D234"/>
  </mergeCells>
  <dataValidations disablePrompts="1" count="2">
    <dataValidation type="list" allowBlank="1" showInputMessage="1" showErrorMessage="1" sqref="K25">
      <formula1>$G$49:$P$49</formula1>
    </dataValidation>
    <dataValidation type="list" allowBlank="1" showInputMessage="1" showErrorMessage="1" sqref="E20">
      <formula1>$D$51:$D$53</formula1>
    </dataValidation>
  </dataValidations>
  <pageMargins left="0.7" right="0.7" top="0.75" bottom="0.75" header="0.3" footer="0.3"/>
  <pageSetup scale="34" orientation="portrait" r:id="rId1"/>
  <rowBreaks count="5" manualBreakCount="5">
    <brk id="47" max="17" man="1"/>
    <brk id="86" max="17" man="1"/>
    <brk id="126" max="17" man="1"/>
    <brk id="159" max="17" man="1"/>
    <brk id="191" max="17" man="1"/>
  </rowBreaks>
  <ignoredErrors>
    <ignoredError sqref="E28:E29 K27:K29 D16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S18"/>
  <sheetViews>
    <sheetView showGridLines="0" zoomScaleNormal="100" workbookViewId="0">
      <selection activeCell="B2" sqref="B2"/>
    </sheetView>
  </sheetViews>
  <sheetFormatPr defaultRowHeight="14.4" outlineLevelCol="1" x14ac:dyDescent="0.3"/>
  <cols>
    <col min="1" max="2" width="2.77734375" customWidth="1"/>
    <col min="3" max="3" width="17" customWidth="1"/>
    <col min="4" max="4" width="19.109375" hidden="1" customWidth="1" outlineLevel="1"/>
    <col min="5" max="5" width="20" hidden="1" customWidth="1" outlineLevel="1"/>
    <col min="6" max="6" width="10.77734375" customWidth="1" collapsed="1"/>
    <col min="7" max="10" width="10.77734375" customWidth="1"/>
    <col min="11" max="11" width="12.44140625" customWidth="1"/>
    <col min="12" max="14" width="10.77734375" customWidth="1"/>
    <col min="15" max="15" width="15.77734375" customWidth="1"/>
    <col min="16" max="16" width="17.44140625" customWidth="1"/>
    <col min="17" max="19" width="19.77734375" customWidth="1"/>
    <col min="20" max="20" width="2.77734375" customWidth="1"/>
  </cols>
  <sheetData>
    <row r="2" spans="2:19" x14ac:dyDescent="0.3">
      <c r="B2" s="162" t="s">
        <v>162</v>
      </c>
      <c r="C2" s="162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</row>
    <row r="3" spans="2:19" x14ac:dyDescent="0.3">
      <c r="O3" s="188">
        <v>5478922.2600000007</v>
      </c>
      <c r="P3" s="188">
        <v>4950895.4280000003</v>
      </c>
      <c r="Q3" s="188">
        <v>5732315.2440000009</v>
      </c>
    </row>
    <row r="4" spans="2:19" x14ac:dyDescent="0.3">
      <c r="C4" s="164"/>
      <c r="D4" s="164"/>
      <c r="E4" s="164"/>
      <c r="F4" s="164"/>
      <c r="G4" s="165" t="s">
        <v>163</v>
      </c>
      <c r="H4" s="165" t="s">
        <v>164</v>
      </c>
      <c r="I4" s="165" t="s">
        <v>112</v>
      </c>
      <c r="J4" s="165" t="s">
        <v>165</v>
      </c>
      <c r="K4" s="165"/>
      <c r="L4" s="165" t="s">
        <v>166</v>
      </c>
      <c r="M4" s="165" t="s">
        <v>167</v>
      </c>
      <c r="N4" s="165" t="s">
        <v>168</v>
      </c>
      <c r="O4" s="166" t="str">
        <f>Property_Name&amp;" - Implied Values in Different Scenarios:"</f>
        <v>The Lyric - Implied Values in Different Scenarios:</v>
      </c>
      <c r="P4" s="166"/>
      <c r="Q4" s="166"/>
      <c r="R4" s="166" t="str">
        <f>Property_Name&amp;" - Implied Values from Units and SF:"</f>
        <v>The Lyric - Implied Values from Units and SF:</v>
      </c>
      <c r="S4" s="166"/>
    </row>
    <row r="5" spans="2:19" x14ac:dyDescent="0.3">
      <c r="C5" s="167" t="s">
        <v>169</v>
      </c>
      <c r="D5" s="167" t="s">
        <v>170</v>
      </c>
      <c r="E5" s="167" t="s">
        <v>171</v>
      </c>
      <c r="F5" s="167" t="s">
        <v>172</v>
      </c>
      <c r="G5" s="167" t="s">
        <v>173</v>
      </c>
      <c r="H5" s="167" t="s">
        <v>174</v>
      </c>
      <c r="I5" s="167" t="s">
        <v>175</v>
      </c>
      <c r="J5" s="167" t="s">
        <v>176</v>
      </c>
      <c r="K5" s="167" t="s">
        <v>177</v>
      </c>
      <c r="L5" s="167" t="s">
        <v>178</v>
      </c>
      <c r="M5" s="167" t="s">
        <v>179</v>
      </c>
      <c r="N5" s="167" t="s">
        <v>180</v>
      </c>
      <c r="O5" s="167" t="s">
        <v>181</v>
      </c>
      <c r="P5" s="167" t="s">
        <v>182</v>
      </c>
      <c r="Q5" s="167" t="s">
        <v>183</v>
      </c>
      <c r="R5" s="167" t="s">
        <v>184</v>
      </c>
      <c r="S5" s="167" t="s">
        <v>185</v>
      </c>
    </row>
    <row r="6" spans="2:19" x14ac:dyDescent="0.3">
      <c r="C6" t="s">
        <v>186</v>
      </c>
      <c r="D6" t="s">
        <v>187</v>
      </c>
      <c r="E6" t="s">
        <v>188</v>
      </c>
      <c r="F6" s="168">
        <v>161</v>
      </c>
      <c r="G6" s="168">
        <v>120577</v>
      </c>
      <c r="H6" s="169">
        <f t="shared" ref="H6:H16" si="0">+G6/F6</f>
        <v>748.92546583850935</v>
      </c>
      <c r="I6" s="170">
        <v>2004</v>
      </c>
      <c r="J6" s="171">
        <v>41990</v>
      </c>
      <c r="K6" s="172">
        <v>60950000</v>
      </c>
      <c r="L6" s="97">
        <f t="shared" ref="L6:L16" si="1">+K6/F6</f>
        <v>378571.42857142858</v>
      </c>
      <c r="M6" s="173">
        <f t="shared" ref="M6:M16" si="2">+K6/G6</f>
        <v>505.48612090199623</v>
      </c>
      <c r="N6" s="174">
        <v>4.7E-2</v>
      </c>
      <c r="O6" s="97">
        <f>+O$3/$N6</f>
        <v>116572814.0425532</v>
      </c>
      <c r="P6" s="97">
        <f t="shared" ref="P6:Q16" si="3">+P$3/$N6</f>
        <v>105338200.59574468</v>
      </c>
      <c r="Q6" s="97">
        <f t="shared" si="3"/>
        <v>121964154.12765959</v>
      </c>
      <c r="R6" s="97">
        <f t="shared" ref="R6:R16" si="4">+L6*Apt_Units</f>
        <v>88585714.285714284</v>
      </c>
      <c r="S6" s="97">
        <f t="shared" ref="S6:S16" si="5">+M6*Rentable_SF</f>
        <v>94129098.003765225</v>
      </c>
    </row>
    <row r="7" spans="2:19" x14ac:dyDescent="0.3">
      <c r="C7" t="s">
        <v>189</v>
      </c>
      <c r="D7" t="s">
        <v>190</v>
      </c>
      <c r="E7" t="s">
        <v>191</v>
      </c>
      <c r="F7" s="168">
        <v>188</v>
      </c>
      <c r="G7" s="168">
        <v>189708</v>
      </c>
      <c r="H7" s="169">
        <f t="shared" si="0"/>
        <v>1009.0851063829788</v>
      </c>
      <c r="I7" s="170">
        <v>2012</v>
      </c>
      <c r="J7" s="171">
        <v>41920</v>
      </c>
      <c r="K7" s="175">
        <v>113471816</v>
      </c>
      <c r="L7" s="176">
        <f t="shared" si="1"/>
        <v>603573.48936170212</v>
      </c>
      <c r="M7" s="177">
        <f t="shared" si="2"/>
        <v>598.13932991755746</v>
      </c>
      <c r="N7" s="174">
        <v>4.7E-2</v>
      </c>
      <c r="O7" s="176">
        <f t="shared" ref="O7:O16" si="6">+O$3/$N7</f>
        <v>116572814.0425532</v>
      </c>
      <c r="P7" s="176">
        <f t="shared" si="3"/>
        <v>105338200.59574468</v>
      </c>
      <c r="Q7" s="176">
        <f t="shared" si="3"/>
        <v>121964154.12765959</v>
      </c>
      <c r="R7" s="176">
        <f t="shared" si="4"/>
        <v>141236196.5106383</v>
      </c>
      <c r="S7" s="176">
        <f t="shared" si="5"/>
        <v>111382515.32059796</v>
      </c>
    </row>
    <row r="8" spans="2:19" x14ac:dyDescent="0.3">
      <c r="C8" t="s">
        <v>192</v>
      </c>
      <c r="D8" t="s">
        <v>193</v>
      </c>
      <c r="E8" t="s">
        <v>194</v>
      </c>
      <c r="F8" s="168">
        <v>179</v>
      </c>
      <c r="G8" s="168">
        <v>172000</v>
      </c>
      <c r="H8" s="169">
        <f t="shared" si="0"/>
        <v>960.8938547486033</v>
      </c>
      <c r="I8" s="170">
        <v>1962</v>
      </c>
      <c r="J8" s="171">
        <v>41887</v>
      </c>
      <c r="K8" s="175">
        <v>74000000</v>
      </c>
      <c r="L8" s="176">
        <f t="shared" si="1"/>
        <v>413407.82122905029</v>
      </c>
      <c r="M8" s="177">
        <f t="shared" si="2"/>
        <v>430.23255813953489</v>
      </c>
      <c r="N8" s="174">
        <v>2.4E-2</v>
      </c>
      <c r="O8" s="176">
        <f t="shared" si="6"/>
        <v>228288427.50000003</v>
      </c>
      <c r="P8" s="176">
        <f t="shared" si="3"/>
        <v>206287309.5</v>
      </c>
      <c r="Q8" s="176">
        <f t="shared" si="3"/>
        <v>238846468.50000003</v>
      </c>
      <c r="R8" s="176">
        <f t="shared" si="4"/>
        <v>96737430.167597771</v>
      </c>
      <c r="S8" s="176">
        <f t="shared" si="5"/>
        <v>80115755.813953489</v>
      </c>
    </row>
    <row r="9" spans="2:19" x14ac:dyDescent="0.3">
      <c r="C9" t="s">
        <v>195</v>
      </c>
      <c r="D9" t="s">
        <v>196</v>
      </c>
      <c r="E9" t="s">
        <v>197</v>
      </c>
      <c r="F9" s="168">
        <v>70</v>
      </c>
      <c r="G9" s="168">
        <v>56035</v>
      </c>
      <c r="H9" s="169">
        <f t="shared" si="0"/>
        <v>800.5</v>
      </c>
      <c r="I9" s="170">
        <v>2014</v>
      </c>
      <c r="J9" s="171">
        <v>41858</v>
      </c>
      <c r="K9" s="175">
        <v>35600000</v>
      </c>
      <c r="L9" s="176">
        <f t="shared" si="1"/>
        <v>508571.42857142858</v>
      </c>
      <c r="M9" s="177">
        <f t="shared" si="2"/>
        <v>635.31721245650044</v>
      </c>
      <c r="N9" s="174">
        <v>4.2000000000000003E-2</v>
      </c>
      <c r="O9" s="176">
        <f t="shared" si="6"/>
        <v>130450530.00000001</v>
      </c>
      <c r="P9" s="176">
        <f t="shared" si="3"/>
        <v>117878462.57142857</v>
      </c>
      <c r="Q9" s="176">
        <f t="shared" si="3"/>
        <v>136483696.2857143</v>
      </c>
      <c r="R9" s="176">
        <f t="shared" si="4"/>
        <v>119005714.28571428</v>
      </c>
      <c r="S9" s="176">
        <f t="shared" si="5"/>
        <v>118305594.71758723</v>
      </c>
    </row>
    <row r="10" spans="2:19" x14ac:dyDescent="0.3">
      <c r="C10" t="s">
        <v>198</v>
      </c>
      <c r="D10" t="s">
        <v>199</v>
      </c>
      <c r="E10" t="s">
        <v>197</v>
      </c>
      <c r="F10" s="168">
        <v>76</v>
      </c>
      <c r="G10" s="168">
        <v>57167</v>
      </c>
      <c r="H10" s="169">
        <f t="shared" si="0"/>
        <v>752.1973684210526</v>
      </c>
      <c r="I10" s="170">
        <v>2013</v>
      </c>
      <c r="J10" s="171">
        <v>41780</v>
      </c>
      <c r="K10" s="175">
        <v>29600000</v>
      </c>
      <c r="L10" s="176">
        <f t="shared" si="1"/>
        <v>389473.68421052629</v>
      </c>
      <c r="M10" s="177">
        <f t="shared" si="2"/>
        <v>517.78123742718697</v>
      </c>
      <c r="N10" s="174">
        <v>4.4999999999999998E-2</v>
      </c>
      <c r="O10" s="176">
        <f t="shared" si="6"/>
        <v>121753828.00000001</v>
      </c>
      <c r="P10" s="176">
        <f t="shared" si="3"/>
        <v>110019898.40000001</v>
      </c>
      <c r="Q10" s="176">
        <f t="shared" si="3"/>
        <v>127384783.20000002</v>
      </c>
      <c r="R10" s="176">
        <f t="shared" si="4"/>
        <v>91136842.105263159</v>
      </c>
      <c r="S10" s="176">
        <f t="shared" si="5"/>
        <v>96418633.127503619</v>
      </c>
    </row>
    <row r="11" spans="2:19" x14ac:dyDescent="0.3">
      <c r="C11" t="s">
        <v>200</v>
      </c>
      <c r="D11" t="s">
        <v>201</v>
      </c>
      <c r="E11" t="s">
        <v>197</v>
      </c>
      <c r="F11" s="168">
        <v>134</v>
      </c>
      <c r="G11" s="168">
        <v>83734</v>
      </c>
      <c r="H11" s="169">
        <f t="shared" si="0"/>
        <v>624.88059701492534</v>
      </c>
      <c r="I11" s="170">
        <v>2014</v>
      </c>
      <c r="J11" s="171">
        <v>41775</v>
      </c>
      <c r="K11" s="175">
        <v>36109577</v>
      </c>
      <c r="L11" s="176">
        <f t="shared" si="1"/>
        <v>269474.45522388059</v>
      </c>
      <c r="M11" s="177">
        <f t="shared" si="2"/>
        <v>431.24151479685673</v>
      </c>
      <c r="N11" s="174">
        <v>4.1000000000000002E-2</v>
      </c>
      <c r="O11" s="176">
        <f t="shared" si="6"/>
        <v>133632250.24390244</v>
      </c>
      <c r="P11" s="176">
        <f t="shared" si="3"/>
        <v>120753547.02439025</v>
      </c>
      <c r="Q11" s="176">
        <f t="shared" si="3"/>
        <v>139812566.92682928</v>
      </c>
      <c r="R11" s="176">
        <f t="shared" si="4"/>
        <v>63057022.522388056</v>
      </c>
      <c r="S11" s="176">
        <f t="shared" si="5"/>
        <v>80303638.677896678</v>
      </c>
    </row>
    <row r="12" spans="2:19" x14ac:dyDescent="0.3">
      <c r="C12" t="s">
        <v>202</v>
      </c>
      <c r="D12" t="s">
        <v>203</v>
      </c>
      <c r="E12" t="s">
        <v>191</v>
      </c>
      <c r="F12" s="168">
        <v>132</v>
      </c>
      <c r="G12" s="168">
        <v>99880</v>
      </c>
      <c r="H12" s="169">
        <f t="shared" si="0"/>
        <v>756.66666666666663</v>
      </c>
      <c r="I12" s="170">
        <v>2013</v>
      </c>
      <c r="J12" s="171">
        <v>41757</v>
      </c>
      <c r="K12" s="175">
        <v>68500000</v>
      </c>
      <c r="L12" s="176">
        <f t="shared" si="1"/>
        <v>518939.39393939392</v>
      </c>
      <c r="M12" s="177">
        <f t="shared" si="2"/>
        <v>685.82298758510217</v>
      </c>
      <c r="N12" s="174">
        <v>4.0999999999999995E-2</v>
      </c>
      <c r="O12" s="176">
        <f t="shared" si="6"/>
        <v>133632250.24390247</v>
      </c>
      <c r="P12" s="176">
        <f t="shared" si="3"/>
        <v>120753547.02439027</v>
      </c>
      <c r="Q12" s="176">
        <f t="shared" si="3"/>
        <v>139812566.92682931</v>
      </c>
      <c r="R12" s="176">
        <f t="shared" si="4"/>
        <v>121431818.18181817</v>
      </c>
      <c r="S12" s="176">
        <f t="shared" si="5"/>
        <v>127710527.6331598</v>
      </c>
    </row>
    <row r="13" spans="2:19" x14ac:dyDescent="0.3">
      <c r="C13" t="s">
        <v>204</v>
      </c>
      <c r="D13" t="s">
        <v>205</v>
      </c>
      <c r="E13" t="s">
        <v>206</v>
      </c>
      <c r="F13" s="168">
        <v>200</v>
      </c>
      <c r="G13" s="168">
        <v>97080</v>
      </c>
      <c r="H13" s="169">
        <f t="shared" si="0"/>
        <v>485.4</v>
      </c>
      <c r="I13" s="170">
        <v>1993</v>
      </c>
      <c r="J13" s="171">
        <v>41724</v>
      </c>
      <c r="K13" s="175">
        <v>23130000</v>
      </c>
      <c r="L13" s="176">
        <f t="shared" si="1"/>
        <v>115650</v>
      </c>
      <c r="M13" s="177">
        <f t="shared" si="2"/>
        <v>238.25710754017305</v>
      </c>
      <c r="N13" s="174">
        <v>6.5369649805447474E-2</v>
      </c>
      <c r="O13" s="176">
        <f t="shared" si="6"/>
        <v>83814465.525000006</v>
      </c>
      <c r="P13" s="176">
        <f t="shared" si="3"/>
        <v>75736912.202142864</v>
      </c>
      <c r="Q13" s="176">
        <f t="shared" si="3"/>
        <v>87690774.863571435</v>
      </c>
      <c r="R13" s="176">
        <f t="shared" si="4"/>
        <v>27062100</v>
      </c>
      <c r="S13" s="176">
        <f t="shared" si="5"/>
        <v>44367047.280593328</v>
      </c>
    </row>
    <row r="14" spans="2:19" x14ac:dyDescent="0.3">
      <c r="C14" t="s">
        <v>207</v>
      </c>
      <c r="D14" t="s">
        <v>208</v>
      </c>
      <c r="E14" t="s">
        <v>209</v>
      </c>
      <c r="F14" s="168">
        <v>122</v>
      </c>
      <c r="G14" s="168">
        <v>75182.481751824816</v>
      </c>
      <c r="H14" s="169">
        <f t="shared" si="0"/>
        <v>616.24985042479352</v>
      </c>
      <c r="I14" s="170">
        <v>2012</v>
      </c>
      <c r="J14" s="171">
        <v>41583</v>
      </c>
      <c r="K14" s="175">
        <v>41200000</v>
      </c>
      <c r="L14" s="176">
        <f t="shared" si="1"/>
        <v>337704.91803278687</v>
      </c>
      <c r="M14" s="177">
        <f t="shared" si="2"/>
        <v>548</v>
      </c>
      <c r="N14" s="174">
        <v>4.7260194174757277E-2</v>
      </c>
      <c r="O14" s="176">
        <f t="shared" si="6"/>
        <v>115931014.58153583</v>
      </c>
      <c r="P14" s="176">
        <f t="shared" si="3"/>
        <v>104758254.05398744</v>
      </c>
      <c r="Q14" s="176">
        <f t="shared" si="3"/>
        <v>121292672.28152351</v>
      </c>
      <c r="R14" s="176">
        <f t="shared" si="4"/>
        <v>79022950.819672123</v>
      </c>
      <c r="S14" s="176">
        <f t="shared" si="5"/>
        <v>102045820</v>
      </c>
    </row>
    <row r="15" spans="2:19" x14ac:dyDescent="0.3">
      <c r="C15" t="s">
        <v>210</v>
      </c>
      <c r="D15" t="s">
        <v>211</v>
      </c>
      <c r="E15" t="s">
        <v>209</v>
      </c>
      <c r="F15" s="168">
        <v>251</v>
      </c>
      <c r="G15" s="168">
        <v>122730</v>
      </c>
      <c r="H15" s="169">
        <f t="shared" si="0"/>
        <v>488.96414342629481</v>
      </c>
      <c r="I15" s="170">
        <v>2011</v>
      </c>
      <c r="J15" s="171">
        <v>41473</v>
      </c>
      <c r="K15" s="175">
        <v>61968800</v>
      </c>
      <c r="L15" s="176">
        <f t="shared" si="1"/>
        <v>246887.64940239044</v>
      </c>
      <c r="M15" s="177">
        <f t="shared" si="2"/>
        <v>504.91974252424018</v>
      </c>
      <c r="N15" s="174">
        <v>5.103535972941222E-2</v>
      </c>
      <c r="O15" s="176">
        <f t="shared" si="6"/>
        <v>107355415.71665341</v>
      </c>
      <c r="P15" s="176">
        <f t="shared" si="3"/>
        <v>97009121.798092201</v>
      </c>
      <c r="Q15" s="176">
        <f t="shared" si="3"/>
        <v>112320463.19243257</v>
      </c>
      <c r="R15" s="176">
        <f t="shared" si="4"/>
        <v>57771709.960159361</v>
      </c>
      <c r="S15" s="176">
        <f t="shared" si="5"/>
        <v>94023629.854151383</v>
      </c>
    </row>
    <row r="16" spans="2:19" x14ac:dyDescent="0.3">
      <c r="C16" t="s">
        <v>212</v>
      </c>
      <c r="D16" t="s">
        <v>213</v>
      </c>
      <c r="E16" t="s">
        <v>191</v>
      </c>
      <c r="F16" s="168">
        <v>325</v>
      </c>
      <c r="G16" s="168">
        <v>308750</v>
      </c>
      <c r="H16" s="169">
        <f t="shared" si="0"/>
        <v>950</v>
      </c>
      <c r="I16" s="170">
        <v>2010</v>
      </c>
      <c r="J16" s="171">
        <v>41214</v>
      </c>
      <c r="K16" s="175">
        <v>165700000</v>
      </c>
      <c r="L16" s="176">
        <f t="shared" si="1"/>
        <v>509846.15384615387</v>
      </c>
      <c r="M16" s="177">
        <f t="shared" si="2"/>
        <v>536.68016194331983</v>
      </c>
      <c r="N16" s="174">
        <v>3.9541339770669884E-2</v>
      </c>
      <c r="O16" s="176">
        <f t="shared" si="6"/>
        <v>138561877.05769232</v>
      </c>
      <c r="P16" s="176">
        <f t="shared" si="3"/>
        <v>125208084.92362639</v>
      </c>
      <c r="Q16" s="176">
        <f t="shared" si="3"/>
        <v>144970182.52912089</v>
      </c>
      <c r="R16" s="176">
        <f t="shared" si="4"/>
        <v>119304000</v>
      </c>
      <c r="S16" s="176">
        <f t="shared" si="5"/>
        <v>99937896.356275305</v>
      </c>
    </row>
    <row r="18" spans="3:19" x14ac:dyDescent="0.3">
      <c r="C18" s="178" t="s">
        <v>214</v>
      </c>
      <c r="D18" s="179"/>
      <c r="E18" s="179"/>
      <c r="F18" s="180">
        <f>MEDIAN(F6:F16)</f>
        <v>161</v>
      </c>
      <c r="G18" s="180">
        <f t="shared" ref="G18:N18" si="7">MEDIAN(G6:G16)</f>
        <v>99880</v>
      </c>
      <c r="H18" s="180">
        <f t="shared" si="7"/>
        <v>752.1973684210526</v>
      </c>
      <c r="I18" s="181">
        <f t="shared" si="7"/>
        <v>2012</v>
      </c>
      <c r="J18" s="182">
        <f t="shared" si="7"/>
        <v>41775</v>
      </c>
      <c r="K18" s="183">
        <f t="shared" si="7"/>
        <v>60950000</v>
      </c>
      <c r="L18" s="183">
        <f t="shared" si="7"/>
        <v>389473.68421052629</v>
      </c>
      <c r="M18" s="184">
        <f t="shared" si="7"/>
        <v>517.78123742718697</v>
      </c>
      <c r="N18" s="185">
        <f t="shared" si="7"/>
        <v>4.4999999999999998E-2</v>
      </c>
      <c r="O18" s="186">
        <f>MEDIAN(O6:O16)</f>
        <v>121753828.00000001</v>
      </c>
      <c r="P18" s="186">
        <f t="shared" ref="P18:Q18" si="8">MEDIAN(P6:P16)</f>
        <v>110019898.40000001</v>
      </c>
      <c r="Q18" s="186">
        <f t="shared" si="8"/>
        <v>127384783.20000002</v>
      </c>
      <c r="R18" s="186">
        <f>MEDIAN(R6:R16)</f>
        <v>91136842.105263159</v>
      </c>
      <c r="S18" s="187">
        <f t="shared" ref="S18" si="9">MEDIAN(S6:S16)</f>
        <v>96418633.127503619</v>
      </c>
    </row>
  </sheetData>
  <pageMargins left="0.7" right="0.7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34</vt:i4>
      </vt:variant>
    </vt:vector>
  </HeadingPairs>
  <TitlesOfParts>
    <vt:vector size="36" baseType="lpstr">
      <vt:lpstr>Pro-Forma</vt:lpstr>
      <vt:lpstr>Comp-Sales</vt:lpstr>
      <vt:lpstr>Apt_Units</vt:lpstr>
      <vt:lpstr>CapEx_per_Unit</vt:lpstr>
      <vt:lpstr>Cost_of_Equity</vt:lpstr>
      <vt:lpstr>Discount_Rate</vt:lpstr>
      <vt:lpstr>Entry_Cap_Rate</vt:lpstr>
      <vt:lpstr>Entry_Fee_Pct</vt:lpstr>
      <vt:lpstr>Entry_Price</vt:lpstr>
      <vt:lpstr>Exit_Cap_Rate</vt:lpstr>
      <vt:lpstr>Exit_Fee_Pct</vt:lpstr>
      <vt:lpstr>Exit_Price</vt:lpstr>
      <vt:lpstr>LCs_per_Unit</vt:lpstr>
      <vt:lpstr>Loan_Amort_Period</vt:lpstr>
      <vt:lpstr>Loan_Fees</vt:lpstr>
      <vt:lpstr>Loan_Interest_Rate</vt:lpstr>
      <vt:lpstr>Loan_Prepay_Penalty</vt:lpstr>
      <vt:lpstr>Loan_Term</vt:lpstr>
      <vt:lpstr>LTV</vt:lpstr>
      <vt:lpstr>Months</vt:lpstr>
      <vt:lpstr>OpEx_per_Unit</vt:lpstr>
      <vt:lpstr>Other_Income_per_Unit</vt:lpstr>
      <vt:lpstr>'Comp-Sales'!Print_Area</vt:lpstr>
      <vt:lpstr>'Pro-Forma'!Print_Area</vt:lpstr>
      <vt:lpstr>Property_Name</vt:lpstr>
      <vt:lpstr>RE_Taxes_Growth_Rate</vt:lpstr>
      <vt:lpstr>RE_Taxes_per_SF</vt:lpstr>
      <vt:lpstr>Rent_per_SF</vt:lpstr>
      <vt:lpstr>Rentable_SF</vt:lpstr>
      <vt:lpstr>Reserve_per_Unit</vt:lpstr>
      <vt:lpstr>Sale_Date</vt:lpstr>
      <vt:lpstr>Scenario</vt:lpstr>
      <vt:lpstr>Start_Date</vt:lpstr>
      <vt:lpstr>Terminal_Growth_Rate</vt:lpstr>
      <vt:lpstr>TIs_per_Unit</vt:lpstr>
      <vt:lpstr>Vacancy_Rate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BIWS</dc:creator>
  <cp:lastModifiedBy>BIWS</cp:lastModifiedBy>
  <dcterms:created xsi:type="dcterms:W3CDTF">2015-04-15T02:33:42Z</dcterms:created>
  <dcterms:modified xsi:type="dcterms:W3CDTF">2015-04-25T06:20:20Z</dcterms:modified>
</cp:coreProperties>
</file>