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Dropbox (BIWS)\BIWS-All-Courses\80-Real-Estate-2017-2018-Edition\RE-01-Introduction-Core-Concepts\RE-01-05-Industrial-Development-Part-1\"/>
    </mc:Choice>
  </mc:AlternateContent>
  <bookViews>
    <workbookView xWindow="2205" yWindow="465" windowWidth="23295" windowHeight="13785" tabRatio="500"/>
  </bookViews>
  <sheets>
    <sheet name="Dev-Pro-Forma" sheetId="1" r:id="rId1"/>
    <sheet name="Constr-Projections" sheetId="2" r:id="rId2"/>
  </sheets>
  <definedNames>
    <definedName name="Constr_Costs">'Dev-Pro-Forma'!$J$16</definedName>
    <definedName name="Constr_Loan_Ann_Interest">'Dev-Pro-Forma'!$E$24</definedName>
    <definedName name="Constr_Loan_Fees">'Dev-Pro-Forma'!$E$26</definedName>
    <definedName name="Constr_Loan_LTC">'Dev-Pro-Forma'!$E$23</definedName>
    <definedName name="Constr_Loan_Monthly_Interest">'Dev-Pro-Forma'!$E$25</definedName>
    <definedName name="Constr_Start_Date">'Dev-Pro-Forma'!$E$11</definedName>
    <definedName name="Cost_per_Acre">'Dev-Pro-Forma'!$E$15</definedName>
    <definedName name="Dev_Cash_Flow_Pct_Above_Hurdle_1">'Dev-Pro-Forma'!$E$33</definedName>
    <definedName name="Dev_Cash_Flow_Pct_Above_Hurdle_2">'Dev-Pro-Forma'!$E$35</definedName>
    <definedName name="Dev_Equity_Pct">'Dev-Pro-Forma'!$E$31</definedName>
    <definedName name="Down_Months">'Dev-Pro-Forma'!$E$60</definedName>
    <definedName name="Excess_Land_Pct">'Dev-Pro-Forma'!$E$18</definedName>
    <definedName name="Exit_Fee_Pct">'Dev-Pro-Forma'!$J$37</definedName>
    <definedName name="Gross_Square_Feet">'Dev-Pro-Forma'!$J$10</definedName>
    <definedName name="IRR_Hurdle_1">'Dev-Pro-Forma'!$E$32</definedName>
    <definedName name="IRR_Hurdle_2">'Dev-Pro-Forma'!$E$34</definedName>
    <definedName name="Land_Acq_Costs">'Dev-Pro-Forma'!$E$16</definedName>
    <definedName name="Max_Equity">'Constr-Projections'!$E$16</definedName>
    <definedName name="Months">'Dev-Pro-Forma'!$E$12</definedName>
    <definedName name="New_Free_Rent_Months">'Dev-Pro-Forma'!$E$63</definedName>
    <definedName name="New_LC_Pct">'Dev-Pro-Forma'!$E$65</definedName>
    <definedName name="New_Lease_Years">'Dev-Pro-Forma'!$E$58</definedName>
    <definedName name="New_TIs">'Dev-Pro-Forma'!$E$64</definedName>
    <definedName name="Num_Acres">'Dev-Pro-Forma'!$E$14</definedName>
    <definedName name="Op_Ex_Growth">'Dev-Pro-Forma'!$E$52</definedName>
    <definedName name="OpEx_per_SF">'Dev-Pro-Forma'!$E$51</definedName>
    <definedName name="Perm_Loan_Amort_Period">'Dev-Pro-Forma'!$J$27</definedName>
    <definedName name="Perm_Loan_Ann_Interest">'Dev-Pro-Forma'!$J$24</definedName>
    <definedName name="Perm_Loan_Balance">'Dev-Pro-Forma'!$J$35</definedName>
    <definedName name="Perm_Loan_Fees">'Dev-Pro-Forma'!$J$26</definedName>
    <definedName name="Perm_Loan_LTV">'Dev-Pro-Forma'!$J$23</definedName>
    <definedName name="Perm_Loan_Maturity">'Dev-Pro-Forma'!$J$28</definedName>
    <definedName name="Perm_Loan_Prepay_Penalty">'Dev-Pro-Forma'!$J$29</definedName>
    <definedName name="_xlnm.Print_Area" localSheetId="1">'Constr-Projections'!$A$1:$S$32</definedName>
    <definedName name="_xlnm.Print_Area" localSheetId="0">'Dev-Pro-Forma'!$A$1:$N$247</definedName>
    <definedName name="Prop_Mgmt_Fee_Pct">'Dev-Pro-Forma'!$E$53</definedName>
    <definedName name="Renewal_Free_Rent_Months">'Dev-Pro-Forma'!$F$63</definedName>
    <definedName name="Renewal_LC_Pct">'Dev-Pro-Forma'!$F$65</definedName>
    <definedName name="Renewal_Probability">'Dev-Pro-Forma'!$E$59</definedName>
    <definedName name="Renewal_TIs">'Dev-Pro-Forma'!$F$64</definedName>
    <definedName name="Rentable_SF">'Dev-Pro-Forma'!$J$13</definedName>
    <definedName name="Reserve_Growth_Rate">'Dev-Pro-Forma'!$E$56</definedName>
    <definedName name="Reserve_per_SF">'Dev-Pro-Forma'!$E$55</definedName>
    <definedName name="Sq_Ft_in_Acre">'Dev-Pro-Forma'!$J$7</definedName>
    <definedName name="Units">'Dev-Pro-Forma'!$E$14</definedName>
  </definedNames>
  <calcPr calcId="162913" calcMode="autoNoTable" iterate="1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9" i="1" l="1"/>
  <c r="H160" i="1"/>
  <c r="H161" i="1"/>
  <c r="D234" i="1"/>
  <c r="D233" i="1"/>
  <c r="D230" i="1"/>
  <c r="D229" i="1"/>
  <c r="D226" i="1"/>
  <c r="D225" i="1"/>
  <c r="D217" i="1"/>
  <c r="D211" i="1"/>
  <c r="D216" i="1"/>
  <c r="D210" i="1"/>
  <c r="D204" i="1"/>
  <c r="D196" i="1"/>
  <c r="D190" i="1"/>
  <c r="D195" i="1"/>
  <c r="D189" i="1"/>
  <c r="D183" i="1"/>
  <c r="Q13" i="2" l="1"/>
  <c r="P13" i="2"/>
  <c r="O13" i="2"/>
  <c r="N13" i="2"/>
  <c r="M13" i="2"/>
  <c r="L13" i="2"/>
  <c r="K13" i="2"/>
  <c r="J13" i="2"/>
  <c r="I13" i="2"/>
  <c r="H13" i="2"/>
  <c r="G13" i="2"/>
  <c r="F13" i="2"/>
  <c r="I161" i="1" l="1"/>
  <c r="J161" i="1" s="1"/>
  <c r="K161" i="1" s="1"/>
  <c r="L161" i="1" s="1"/>
  <c r="M161" i="1" s="1"/>
  <c r="I160" i="1"/>
  <c r="J160" i="1" s="1"/>
  <c r="K160" i="1" s="1"/>
  <c r="L160" i="1" s="1"/>
  <c r="M160" i="1" s="1"/>
  <c r="I159" i="1"/>
  <c r="J159" i="1" s="1"/>
  <c r="K159" i="1" s="1"/>
  <c r="L159" i="1" s="1"/>
  <c r="M159" i="1" s="1"/>
  <c r="H158" i="1"/>
  <c r="I158" i="1" s="1"/>
  <c r="J158" i="1" s="1"/>
  <c r="K158" i="1" s="1"/>
  <c r="L158" i="1" s="1"/>
  <c r="M158" i="1" s="1"/>
  <c r="N101" i="1"/>
  <c r="N127" i="1" s="1"/>
  <c r="M101" i="1"/>
  <c r="M127" i="1" s="1"/>
  <c r="J101" i="1"/>
  <c r="J127" i="1" s="1"/>
  <c r="I101" i="1"/>
  <c r="I127" i="1" s="1"/>
  <c r="F102" i="1"/>
  <c r="N112" i="1"/>
  <c r="M112" i="1"/>
  <c r="J112" i="1"/>
  <c r="I112" i="1"/>
  <c r="N111" i="1"/>
  <c r="M111" i="1"/>
  <c r="J111" i="1"/>
  <c r="I111" i="1"/>
  <c r="H111" i="1"/>
  <c r="R9" i="2" l="1"/>
  <c r="R13" i="2" l="1"/>
  <c r="H90" i="1"/>
  <c r="I90" i="1" s="1"/>
  <c r="J90" i="1" s="1"/>
  <c r="K90" i="1" s="1"/>
  <c r="L90" i="1" s="1"/>
  <c r="M90" i="1" s="1"/>
  <c r="N90" i="1" s="1"/>
  <c r="O90" i="1" s="1"/>
  <c r="P90" i="1" s="1"/>
  <c r="H73" i="1"/>
  <c r="I73" i="1" s="1"/>
  <c r="J73" i="1" s="1"/>
  <c r="K73" i="1" s="1"/>
  <c r="L73" i="1" s="1"/>
  <c r="M73" i="1" s="1"/>
  <c r="N73" i="1" s="1"/>
  <c r="O73" i="1" s="1"/>
  <c r="R8" i="2"/>
  <c r="R7" i="2"/>
  <c r="E25" i="1"/>
  <c r="O26" i="2" s="1"/>
  <c r="E18" i="1"/>
  <c r="J8" i="1"/>
  <c r="J10" i="1" s="1"/>
  <c r="E16" i="1"/>
  <c r="Q11" i="2" l="1"/>
  <c r="E151" i="1"/>
  <c r="F151" i="1" s="1"/>
  <c r="G151" i="1" s="1"/>
  <c r="H151" i="1" s="1"/>
  <c r="I151" i="1" s="1"/>
  <c r="J151" i="1" s="1"/>
  <c r="J16" i="1"/>
  <c r="J13" i="1"/>
  <c r="H26" i="2"/>
  <c r="K11" i="2"/>
  <c r="I26" i="2"/>
  <c r="Q26" i="2"/>
  <c r="J11" i="2"/>
  <c r="P26" i="2"/>
  <c r="L11" i="2"/>
  <c r="J26" i="2"/>
  <c r="F11" i="2"/>
  <c r="M11" i="2"/>
  <c r="K26" i="2"/>
  <c r="J42" i="1"/>
  <c r="N11" i="2"/>
  <c r="L26" i="2"/>
  <c r="G11" i="2"/>
  <c r="O11" i="2"/>
  <c r="M26" i="2"/>
  <c r="H11" i="2"/>
  <c r="P11" i="2"/>
  <c r="F26" i="2"/>
  <c r="N26" i="2"/>
  <c r="I11" i="2"/>
  <c r="G26" i="2"/>
  <c r="G121" i="1" l="1"/>
  <c r="H121" i="1" s="1"/>
  <c r="I121" i="1" s="1"/>
  <c r="J121" i="1" s="1"/>
  <c r="K121" i="1" s="1"/>
  <c r="L121" i="1" s="1"/>
  <c r="M121" i="1" s="1"/>
  <c r="N121" i="1" s="1"/>
  <c r="G119" i="1"/>
  <c r="K151" i="1"/>
  <c r="L151" i="1" s="1"/>
  <c r="M151" i="1" s="1"/>
  <c r="J163" i="1"/>
  <c r="R11" i="2"/>
  <c r="E86" i="1"/>
  <c r="E69" i="1"/>
  <c r="N12" i="2"/>
  <c r="N14" i="2" s="1"/>
  <c r="J43" i="1"/>
  <c r="J45" i="1" s="1"/>
  <c r="M12" i="2"/>
  <c r="M14" i="2" s="1"/>
  <c r="L12" i="2"/>
  <c r="L14" i="2" s="1"/>
  <c r="K12" i="2"/>
  <c r="K14" i="2" s="1"/>
  <c r="F12" i="2"/>
  <c r="F14" i="2" s="1"/>
  <c r="O12" i="2"/>
  <c r="O14" i="2" s="1"/>
  <c r="J12" i="2"/>
  <c r="J14" i="2" s="1"/>
  <c r="Q12" i="2"/>
  <c r="Q14" i="2" s="1"/>
  <c r="I12" i="2"/>
  <c r="I14" i="2" s="1"/>
  <c r="P12" i="2"/>
  <c r="P14" i="2" s="1"/>
  <c r="H12" i="2"/>
  <c r="H14" i="2" s="1"/>
  <c r="G12" i="2"/>
  <c r="G14" i="2" s="1"/>
  <c r="L115" i="1" l="1"/>
  <c r="M115" i="1"/>
  <c r="I115" i="1"/>
  <c r="J115" i="1"/>
  <c r="N115" i="1"/>
  <c r="G115" i="1"/>
  <c r="H115" i="1"/>
  <c r="K115" i="1"/>
  <c r="H119" i="1"/>
  <c r="G82" i="1"/>
  <c r="G113" i="1" s="1"/>
  <c r="E42" i="1"/>
  <c r="E43" i="1" s="1"/>
  <c r="K79" i="1"/>
  <c r="G76" i="1"/>
  <c r="G79" i="1"/>
  <c r="N76" i="1"/>
  <c r="M76" i="1"/>
  <c r="L76" i="1"/>
  <c r="H76" i="1"/>
  <c r="O76" i="1"/>
  <c r="K76" i="1"/>
  <c r="J76" i="1"/>
  <c r="I76" i="1"/>
  <c r="R12" i="2"/>
  <c r="R14" i="2" s="1"/>
  <c r="G93" i="1"/>
  <c r="G94" i="1" s="1"/>
  <c r="G111" i="1" s="1"/>
  <c r="N93" i="1"/>
  <c r="M93" i="1"/>
  <c r="L93" i="1"/>
  <c r="K93" i="1"/>
  <c r="J93" i="1"/>
  <c r="L96" i="1"/>
  <c r="I93" i="1"/>
  <c r="H96" i="1"/>
  <c r="H93" i="1"/>
  <c r="O93" i="1"/>
  <c r="P93" i="1"/>
  <c r="L110" i="1" l="1"/>
  <c r="L97" i="1"/>
  <c r="L101" i="1" s="1"/>
  <c r="L127" i="1" s="1"/>
  <c r="H110" i="1"/>
  <c r="E44" i="1"/>
  <c r="M110" i="1"/>
  <c r="I110" i="1"/>
  <c r="J110" i="1"/>
  <c r="G110" i="1"/>
  <c r="N110" i="1"/>
  <c r="K110" i="1"/>
  <c r="I119" i="1"/>
  <c r="H99" i="1"/>
  <c r="H82" i="1"/>
  <c r="L95" i="1"/>
  <c r="L112" i="1" s="1"/>
  <c r="L94" i="1"/>
  <c r="L111" i="1" s="1"/>
  <c r="G80" i="1"/>
  <c r="G101" i="1" s="1"/>
  <c r="G127" i="1" s="1"/>
  <c r="G128" i="1" s="1"/>
  <c r="G102" i="1" s="1"/>
  <c r="G78" i="1"/>
  <c r="G112" i="1" s="1"/>
  <c r="K77" i="1"/>
  <c r="K111" i="1" s="1"/>
  <c r="K80" i="1"/>
  <c r="K101" i="1" s="1"/>
  <c r="K127" i="1" s="1"/>
  <c r="K78" i="1"/>
  <c r="K112" i="1" s="1"/>
  <c r="H97" i="1"/>
  <c r="H101" i="1" s="1"/>
  <c r="H127" i="1" s="1"/>
  <c r="H95" i="1"/>
  <c r="H112" i="1" s="1"/>
  <c r="F158" i="1" l="1"/>
  <c r="F173" i="1" s="1"/>
  <c r="E45" i="1"/>
  <c r="E16" i="2"/>
  <c r="F18" i="2" s="1"/>
  <c r="G18" i="2" s="1"/>
  <c r="G19" i="2" s="1"/>
  <c r="G29" i="2" s="1"/>
  <c r="H128" i="1"/>
  <c r="H102" i="1" s="1"/>
  <c r="I128" i="1" s="1"/>
  <c r="I102" i="1" s="1"/>
  <c r="J128" i="1" s="1"/>
  <c r="J102" i="1" s="1"/>
  <c r="K128" i="1" s="1"/>
  <c r="K102" i="1" s="1"/>
  <c r="L128" i="1" s="1"/>
  <c r="L102" i="1" s="1"/>
  <c r="M128" i="1" s="1"/>
  <c r="M102" i="1" s="1"/>
  <c r="N128" i="1" s="1"/>
  <c r="N102" i="1" s="1"/>
  <c r="J119" i="1"/>
  <c r="I99" i="1"/>
  <c r="I82" i="1"/>
  <c r="G114" i="1"/>
  <c r="G116" i="1" s="1"/>
  <c r="G120" i="1" s="1"/>
  <c r="G122" i="1" s="1"/>
  <c r="G124" i="1" s="1"/>
  <c r="H113" i="1"/>
  <c r="H114" i="1" s="1"/>
  <c r="H116" i="1" s="1"/>
  <c r="H120" i="1" s="1"/>
  <c r="H122" i="1" s="1"/>
  <c r="H124" i="1" s="1"/>
  <c r="I113" i="1" l="1"/>
  <c r="I114" i="1" s="1"/>
  <c r="I116" i="1" s="1"/>
  <c r="I120" i="1" s="1"/>
  <c r="I122" i="1" s="1"/>
  <c r="I124" i="1" s="1"/>
  <c r="I125" i="1" s="1"/>
  <c r="G154" i="1"/>
  <c r="G156" i="1" s="1"/>
  <c r="J33" i="1" s="1"/>
  <c r="H125" i="1"/>
  <c r="H130" i="1"/>
  <c r="G125" i="1"/>
  <c r="G130" i="1"/>
  <c r="J99" i="1"/>
  <c r="J82" i="1"/>
  <c r="K119" i="1"/>
  <c r="F19" i="2"/>
  <c r="F29" i="2" s="1"/>
  <c r="F23" i="2" s="1"/>
  <c r="F21" i="2"/>
  <c r="G21" i="2" s="1"/>
  <c r="H18" i="2"/>
  <c r="H19" i="2" s="1"/>
  <c r="H29" i="2" s="1"/>
  <c r="H154" i="1" l="1"/>
  <c r="H156" i="1" s="1"/>
  <c r="I130" i="1"/>
  <c r="J113" i="1"/>
  <c r="J114" i="1" s="1"/>
  <c r="J116" i="1" s="1"/>
  <c r="J120" i="1" s="1"/>
  <c r="J122" i="1" s="1"/>
  <c r="J124" i="1" s="1"/>
  <c r="J130" i="1" s="1"/>
  <c r="J34" i="1"/>
  <c r="J35" i="1" s="1"/>
  <c r="F160" i="1" s="1"/>
  <c r="I131" i="1"/>
  <c r="G131" i="1"/>
  <c r="H131" i="1"/>
  <c r="K82" i="1"/>
  <c r="K99" i="1"/>
  <c r="L119" i="1"/>
  <c r="H21" i="2"/>
  <c r="F30" i="2"/>
  <c r="F31" i="2" s="1"/>
  <c r="I18" i="2"/>
  <c r="I154" i="1" l="1"/>
  <c r="I156" i="1" s="1"/>
  <c r="J125" i="1"/>
  <c r="F159" i="1"/>
  <c r="G140" i="1"/>
  <c r="J140" i="1"/>
  <c r="I140" i="1"/>
  <c r="H140" i="1"/>
  <c r="K113" i="1"/>
  <c r="K114" i="1" s="1"/>
  <c r="K116" i="1" s="1"/>
  <c r="K120" i="1" s="1"/>
  <c r="K122" i="1" s="1"/>
  <c r="K124" i="1" s="1"/>
  <c r="K140" i="1" s="1"/>
  <c r="J131" i="1"/>
  <c r="L99" i="1"/>
  <c r="L82" i="1"/>
  <c r="M119" i="1"/>
  <c r="F24" i="2"/>
  <c r="G23" i="2" s="1"/>
  <c r="G30" i="2" s="1"/>
  <c r="G31" i="2" s="1"/>
  <c r="I19" i="2"/>
  <c r="I29" i="2" s="1"/>
  <c r="J18" i="2"/>
  <c r="I21" i="2"/>
  <c r="J154" i="1" l="1"/>
  <c r="J156" i="1" s="1"/>
  <c r="K125" i="1"/>
  <c r="K130" i="1"/>
  <c r="L113" i="1"/>
  <c r="L114" i="1" s="1"/>
  <c r="L116" i="1" s="1"/>
  <c r="L120" i="1" s="1"/>
  <c r="L122" i="1" s="1"/>
  <c r="L124" i="1" s="1"/>
  <c r="L140" i="1" s="1"/>
  <c r="M82" i="1"/>
  <c r="M99" i="1"/>
  <c r="N119" i="1"/>
  <c r="K131" i="1"/>
  <c r="J21" i="2"/>
  <c r="G24" i="2"/>
  <c r="H23" i="2" s="1"/>
  <c r="H30" i="2" s="1"/>
  <c r="H31" i="2" s="1"/>
  <c r="J19" i="2"/>
  <c r="J29" i="2" s="1"/>
  <c r="K18" i="2"/>
  <c r="L18" i="2" s="1"/>
  <c r="L19" i="2" s="1"/>
  <c r="L29" i="2" s="1"/>
  <c r="L130" i="1" l="1"/>
  <c r="L131" i="1" s="1"/>
  <c r="K154" i="1"/>
  <c r="K156" i="1" s="1"/>
  <c r="M113" i="1"/>
  <c r="M114" i="1" s="1"/>
  <c r="M116" i="1" s="1"/>
  <c r="M120" i="1" s="1"/>
  <c r="M122" i="1" s="1"/>
  <c r="M124" i="1" s="1"/>
  <c r="M125" i="1" s="1"/>
  <c r="L125" i="1"/>
  <c r="N82" i="1"/>
  <c r="N99" i="1"/>
  <c r="H24" i="2"/>
  <c r="I23" i="2" s="1"/>
  <c r="I30" i="2" s="1"/>
  <c r="I31" i="2" s="1"/>
  <c r="M18" i="2"/>
  <c r="M19" i="2" s="1"/>
  <c r="M29" i="2" s="1"/>
  <c r="K19" i="2"/>
  <c r="K29" i="2" s="1"/>
  <c r="K21" i="2"/>
  <c r="L21" i="2" s="1"/>
  <c r="L154" i="1" l="1"/>
  <c r="L156" i="1" s="1"/>
  <c r="M140" i="1"/>
  <c r="M130" i="1"/>
  <c r="N113" i="1"/>
  <c r="N114" i="1" s="1"/>
  <c r="N116" i="1" s="1"/>
  <c r="N120" i="1" s="1"/>
  <c r="N122" i="1" s="1"/>
  <c r="N124" i="1" s="1"/>
  <c r="M131" i="1"/>
  <c r="I24" i="2"/>
  <c r="J23" i="2" s="1"/>
  <c r="J30" i="2" s="1"/>
  <c r="J31" i="2" s="1"/>
  <c r="N18" i="2"/>
  <c r="N19" i="2" s="1"/>
  <c r="N29" i="2" s="1"/>
  <c r="M21" i="2"/>
  <c r="N130" i="1" l="1"/>
  <c r="N131" i="1" s="1"/>
  <c r="N125" i="1"/>
  <c r="M154" i="1"/>
  <c r="M156" i="1" s="1"/>
  <c r="M164" i="1" s="1"/>
  <c r="M165" i="1" s="1"/>
  <c r="N21" i="2"/>
  <c r="O18" i="2"/>
  <c r="P18" i="2" s="1"/>
  <c r="J24" i="2"/>
  <c r="K23" i="2" s="1"/>
  <c r="O19" i="2" l="1"/>
  <c r="O29" i="2" s="1"/>
  <c r="O21" i="2"/>
  <c r="P21" i="2" s="1"/>
  <c r="K30" i="2"/>
  <c r="K31" i="2" s="1"/>
  <c r="Q18" i="2"/>
  <c r="Q19" i="2" s="1"/>
  <c r="Q29" i="2" s="1"/>
  <c r="P19" i="2"/>
  <c r="P29" i="2" s="1"/>
  <c r="K24" i="2" l="1"/>
  <c r="L23" i="2" s="1"/>
  <c r="Q21" i="2"/>
  <c r="L30" i="2" l="1"/>
  <c r="L31" i="2" s="1"/>
  <c r="L24" i="2" l="1"/>
  <c r="M23" i="2" s="1"/>
  <c r="M30" i="2" l="1"/>
  <c r="M31" i="2" s="1"/>
  <c r="M24" i="2" l="1"/>
  <c r="N23" i="2" s="1"/>
  <c r="N30" i="2" l="1"/>
  <c r="N31" i="2" s="1"/>
  <c r="N24" i="2" l="1"/>
  <c r="O23" i="2" s="1"/>
  <c r="O30" i="2" l="1"/>
  <c r="O31" i="2" s="1"/>
  <c r="O24" i="2" l="1"/>
  <c r="P23" i="2" s="1"/>
  <c r="P30" i="2" l="1"/>
  <c r="P31" i="2" s="1"/>
  <c r="P24" i="2" l="1"/>
  <c r="Q23" i="2" s="1"/>
  <c r="E28" i="1"/>
  <c r="Q30" i="2" l="1"/>
  <c r="Q31" i="2" s="1"/>
  <c r="B2" i="1"/>
  <c r="Q24" i="2" l="1"/>
  <c r="F161" i="1" s="1"/>
  <c r="I20" i="1"/>
  <c r="D20" i="1"/>
  <c r="I5" i="1"/>
  <c r="F197" i="1" l="1"/>
  <c r="F191" i="1"/>
  <c r="F185" i="1"/>
  <c r="F168" i="1"/>
  <c r="C232" i="1"/>
  <c r="C201" i="1"/>
  <c r="C228" i="1" s="1"/>
  <c r="F206" i="1" l="1"/>
  <c r="G203" i="1" s="1"/>
  <c r="G182" i="1"/>
  <c r="G183" i="1" s="1"/>
  <c r="F238" i="1"/>
  <c r="G188" i="1"/>
  <c r="F212" i="1"/>
  <c r="G209" i="1" s="1"/>
  <c r="F218" i="1"/>
  <c r="G215" i="1" s="1"/>
  <c r="G194" i="1"/>
  <c r="G195" i="1" s="1"/>
  <c r="F243" i="1"/>
  <c r="C180" i="1"/>
  <c r="C224" i="1" s="1"/>
  <c r="D178" i="1"/>
  <c r="N177" i="1"/>
  <c r="G177" i="1"/>
  <c r="F177" i="1"/>
  <c r="G216" i="1" l="1"/>
  <c r="G210" i="1"/>
  <c r="G189" i="1"/>
  <c r="G204" i="1"/>
  <c r="D149" i="1"/>
  <c r="N148" i="1"/>
  <c r="G148" i="1"/>
  <c r="F148" i="1"/>
  <c r="G106" i="1"/>
  <c r="N106" i="1"/>
  <c r="F106" i="1"/>
  <c r="J28" i="1" l="1"/>
  <c r="D5" i="2" l="1"/>
  <c r="D107" i="1" l="1"/>
  <c r="F48" i="1" l="1"/>
  <c r="D48" i="1"/>
  <c r="F107" i="1" l="1"/>
  <c r="F104" i="1" s="1"/>
  <c r="F178" i="1"/>
  <c r="F149" i="1"/>
  <c r="G48" i="1"/>
  <c r="G107" i="1" l="1"/>
  <c r="G104" i="1" s="1"/>
  <c r="G178" i="1"/>
  <c r="G149" i="1"/>
  <c r="H48" i="1"/>
  <c r="G134" i="1" l="1"/>
  <c r="G133" i="1"/>
  <c r="H107" i="1"/>
  <c r="H104" i="1" s="1"/>
  <c r="H178" i="1"/>
  <c r="H149" i="1"/>
  <c r="I48" i="1"/>
  <c r="G142" i="1" l="1"/>
  <c r="G145" i="1"/>
  <c r="G146" i="1"/>
  <c r="G143" i="1"/>
  <c r="H134" i="1"/>
  <c r="H133" i="1"/>
  <c r="G136" i="1"/>
  <c r="G162" i="1" s="1"/>
  <c r="G168" i="1" s="1"/>
  <c r="I107" i="1"/>
  <c r="I104" i="1" s="1"/>
  <c r="I178" i="1"/>
  <c r="I149" i="1"/>
  <c r="J48" i="1"/>
  <c r="G175" i="1" l="1"/>
  <c r="G211" i="1"/>
  <c r="G212" i="1" s="1"/>
  <c r="H209" i="1" s="1"/>
  <c r="H210" i="1" s="1"/>
  <c r="G184" i="1"/>
  <c r="G185" i="1" s="1"/>
  <c r="H182" i="1" s="1"/>
  <c r="H183" i="1" s="1"/>
  <c r="G196" i="1"/>
  <c r="G190" i="1"/>
  <c r="G205" i="1"/>
  <c r="G206" i="1" s="1"/>
  <c r="H203" i="1" s="1"/>
  <c r="H204" i="1" s="1"/>
  <c r="G217" i="1"/>
  <c r="G218" i="1" s="1"/>
  <c r="H215" i="1" s="1"/>
  <c r="H216" i="1" s="1"/>
  <c r="I134" i="1"/>
  <c r="I133" i="1"/>
  <c r="H143" i="1"/>
  <c r="H142" i="1"/>
  <c r="H145" i="1"/>
  <c r="H136" i="1"/>
  <c r="H162" i="1" s="1"/>
  <c r="H168" i="1" s="1"/>
  <c r="H146" i="1"/>
  <c r="J107" i="1"/>
  <c r="J104" i="1" s="1"/>
  <c r="J178" i="1"/>
  <c r="J149" i="1"/>
  <c r="K48" i="1"/>
  <c r="H205" i="1" l="1"/>
  <c r="H206" i="1" s="1"/>
  <c r="I203" i="1" s="1"/>
  <c r="I204" i="1" s="1"/>
  <c r="G225" i="1"/>
  <c r="G191" i="1"/>
  <c r="H188" i="1" s="1"/>
  <c r="H189" i="1" s="1"/>
  <c r="H190" i="1" s="1"/>
  <c r="G197" i="1"/>
  <c r="H194" i="1" s="1"/>
  <c r="H195" i="1" s="1"/>
  <c r="H196" i="1" s="1"/>
  <c r="H226" i="1" s="1"/>
  <c r="G226" i="1"/>
  <c r="G220" i="1"/>
  <c r="H175" i="1"/>
  <c r="H211" i="1"/>
  <c r="H212" i="1" s="1"/>
  <c r="I209" i="1" s="1"/>
  <c r="I210" i="1" s="1"/>
  <c r="H217" i="1"/>
  <c r="H218" i="1" s="1"/>
  <c r="I215" i="1" s="1"/>
  <c r="I216" i="1" s="1"/>
  <c r="H184" i="1"/>
  <c r="H185" i="1" s="1"/>
  <c r="I182" i="1" s="1"/>
  <c r="G199" i="1"/>
  <c r="J133" i="1"/>
  <c r="J134" i="1"/>
  <c r="I145" i="1"/>
  <c r="I142" i="1"/>
  <c r="I143" i="1"/>
  <c r="I136" i="1"/>
  <c r="I162" i="1" s="1"/>
  <c r="I168" i="1" s="1"/>
  <c r="I146" i="1"/>
  <c r="K107" i="1"/>
  <c r="K104" i="1" s="1"/>
  <c r="K178" i="1"/>
  <c r="K149" i="1"/>
  <c r="L48" i="1"/>
  <c r="H220" i="1" l="1"/>
  <c r="H234" i="1" s="1"/>
  <c r="H199" i="1"/>
  <c r="G234" i="1"/>
  <c r="G233" i="1"/>
  <c r="I183" i="1"/>
  <c r="I184" i="1" s="1"/>
  <c r="I199" i="1" s="1"/>
  <c r="G230" i="1"/>
  <c r="G229" i="1"/>
  <c r="G238" i="1" s="1"/>
  <c r="H197" i="1"/>
  <c r="I194" i="1" s="1"/>
  <c r="I175" i="1"/>
  <c r="I211" i="1"/>
  <c r="I212" i="1" s="1"/>
  <c r="J209" i="1" s="1"/>
  <c r="J210" i="1" s="1"/>
  <c r="I205" i="1"/>
  <c r="I206" i="1" s="1"/>
  <c r="J203" i="1" s="1"/>
  <c r="J204" i="1" s="1"/>
  <c r="I217" i="1"/>
  <c r="I218" i="1" s="1"/>
  <c r="J215" i="1" s="1"/>
  <c r="J216" i="1" s="1"/>
  <c r="H191" i="1"/>
  <c r="I188" i="1" s="1"/>
  <c r="I189" i="1" s="1"/>
  <c r="H225" i="1"/>
  <c r="K133" i="1"/>
  <c r="K134" i="1"/>
  <c r="J146" i="1"/>
  <c r="J142" i="1"/>
  <c r="J145" i="1"/>
  <c r="J136" i="1"/>
  <c r="J162" i="1" s="1"/>
  <c r="J168" i="1" s="1"/>
  <c r="J143" i="1"/>
  <c r="L107" i="1"/>
  <c r="L104" i="1" s="1"/>
  <c r="L178" i="1"/>
  <c r="L149" i="1"/>
  <c r="M48" i="1"/>
  <c r="G243" i="1" l="1"/>
  <c r="G246" i="1"/>
  <c r="H229" i="1"/>
  <c r="H233" i="1"/>
  <c r="H230" i="1"/>
  <c r="H243" i="1" s="1"/>
  <c r="H246" i="1" s="1"/>
  <c r="I220" i="1"/>
  <c r="I233" i="1" s="1"/>
  <c r="I185" i="1"/>
  <c r="J182" i="1" s="1"/>
  <c r="J183" i="1" s="1"/>
  <c r="J175" i="1"/>
  <c r="J211" i="1"/>
  <c r="J212" i="1" s="1"/>
  <c r="K209" i="1" s="1"/>
  <c r="J205" i="1"/>
  <c r="J206" i="1" s="1"/>
  <c r="K203" i="1" s="1"/>
  <c r="K204" i="1" s="1"/>
  <c r="J217" i="1"/>
  <c r="J218" i="1" s="1"/>
  <c r="K215" i="1" s="1"/>
  <c r="K216" i="1" s="1"/>
  <c r="I195" i="1"/>
  <c r="I196" i="1" s="1"/>
  <c r="I226" i="1" s="1"/>
  <c r="I190" i="1"/>
  <c r="G241" i="1"/>
  <c r="L134" i="1"/>
  <c r="L133" i="1"/>
  <c r="K145" i="1"/>
  <c r="K142" i="1"/>
  <c r="K136" i="1"/>
  <c r="K162" i="1" s="1"/>
  <c r="K168" i="1" s="1"/>
  <c r="K143" i="1"/>
  <c r="K146" i="1"/>
  <c r="M107" i="1"/>
  <c r="M104" i="1" s="1"/>
  <c r="M178" i="1"/>
  <c r="M149" i="1"/>
  <c r="N48" i="1"/>
  <c r="B3" i="2"/>
  <c r="I229" i="1" l="1"/>
  <c r="I230" i="1"/>
  <c r="H238" i="1"/>
  <c r="H241" i="1" s="1"/>
  <c r="I234" i="1"/>
  <c r="K210" i="1"/>
  <c r="K211" i="1" s="1"/>
  <c r="K212" i="1" s="1"/>
  <c r="L209" i="1" s="1"/>
  <c r="L210" i="1" s="1"/>
  <c r="K175" i="1"/>
  <c r="K205" i="1"/>
  <c r="K206" i="1" s="1"/>
  <c r="L203" i="1" s="1"/>
  <c r="L204" i="1" s="1"/>
  <c r="K217" i="1"/>
  <c r="K218" i="1" s="1"/>
  <c r="L215" i="1" s="1"/>
  <c r="L216" i="1" s="1"/>
  <c r="I197" i="1"/>
  <c r="J194" i="1" s="1"/>
  <c r="J220" i="1"/>
  <c r="I191" i="1"/>
  <c r="J188" i="1" s="1"/>
  <c r="I225" i="1"/>
  <c r="J184" i="1"/>
  <c r="M133" i="1"/>
  <c r="M134" i="1"/>
  <c r="L145" i="1"/>
  <c r="L142" i="1"/>
  <c r="L146" i="1"/>
  <c r="L143" i="1"/>
  <c r="L136" i="1"/>
  <c r="L162" i="1" s="1"/>
  <c r="L168" i="1" s="1"/>
  <c r="N107" i="1"/>
  <c r="N104" i="1" s="1"/>
  <c r="N178" i="1"/>
  <c r="N149" i="1"/>
  <c r="I243" i="1" l="1"/>
  <c r="I238" i="1"/>
  <c r="I241" i="1" s="1"/>
  <c r="K220" i="1"/>
  <c r="K234" i="1" s="1"/>
  <c r="J195" i="1"/>
  <c r="J196" i="1"/>
  <c r="J226" i="1" s="1"/>
  <c r="J234" i="1"/>
  <c r="J233" i="1"/>
  <c r="J185" i="1"/>
  <c r="K182" i="1" s="1"/>
  <c r="J199" i="1"/>
  <c r="J189" i="1"/>
  <c r="J190" i="1" s="1"/>
  <c r="J225" i="1" s="1"/>
  <c r="L175" i="1"/>
  <c r="L211" i="1"/>
  <c r="L212" i="1" s="1"/>
  <c r="M209" i="1" s="1"/>
  <c r="M210" i="1" s="1"/>
  <c r="L205" i="1"/>
  <c r="L220" i="1" s="1"/>
  <c r="L217" i="1"/>
  <c r="L218" i="1" s="1"/>
  <c r="M215" i="1" s="1"/>
  <c r="M216" i="1" s="1"/>
  <c r="M145" i="1"/>
  <c r="M142" i="1"/>
  <c r="M136" i="1"/>
  <c r="M162" i="1" s="1"/>
  <c r="M146" i="1"/>
  <c r="M143" i="1"/>
  <c r="F138" i="1"/>
  <c r="G138" i="1" s="1"/>
  <c r="H138" i="1" s="1"/>
  <c r="I138" i="1" s="1"/>
  <c r="J138" i="1" s="1"/>
  <c r="K138" i="1" s="1"/>
  <c r="L138" i="1" s="1"/>
  <c r="M138" i="1" s="1"/>
  <c r="M166" i="1" s="1"/>
  <c r="M167" i="1" s="1"/>
  <c r="I246" i="1" l="1"/>
  <c r="K233" i="1"/>
  <c r="J197" i="1"/>
  <c r="K194" i="1" s="1"/>
  <c r="K195" i="1" s="1"/>
  <c r="L206" i="1"/>
  <c r="M203" i="1" s="1"/>
  <c r="M204" i="1" s="1"/>
  <c r="L234" i="1"/>
  <c r="L233" i="1"/>
  <c r="J191" i="1"/>
  <c r="K188" i="1" s="1"/>
  <c r="J230" i="1"/>
  <c r="J243" i="1" s="1"/>
  <c r="J246" i="1" s="1"/>
  <c r="J229" i="1"/>
  <c r="J238" i="1" s="1"/>
  <c r="K183" i="1"/>
  <c r="K184" i="1" s="1"/>
  <c r="M168" i="1"/>
  <c r="K196" i="1" l="1"/>
  <c r="K226" i="1" s="1"/>
  <c r="J241" i="1"/>
  <c r="K189" i="1"/>
  <c r="K190" i="1"/>
  <c r="M211" i="1"/>
  <c r="M212" i="1" s="1"/>
  <c r="M205" i="1"/>
  <c r="M220" i="1" s="1"/>
  <c r="M217" i="1"/>
  <c r="M218" i="1" s="1"/>
  <c r="K185" i="1"/>
  <c r="L182" i="1" s="1"/>
  <c r="K199" i="1"/>
  <c r="F172" i="1"/>
  <c r="F174" i="1" s="1"/>
  <c r="M175" i="1"/>
  <c r="F170" i="1"/>
  <c r="K197" i="1" l="1"/>
  <c r="L194" i="1" s="1"/>
  <c r="L195" i="1" s="1"/>
  <c r="L196" i="1" s="1"/>
  <c r="L226" i="1" s="1"/>
  <c r="M206" i="1"/>
  <c r="M234" i="1"/>
  <c r="M233" i="1"/>
  <c r="K191" i="1"/>
  <c r="L188" i="1" s="1"/>
  <c r="K225" i="1"/>
  <c r="K229" i="1"/>
  <c r="K230" i="1"/>
  <c r="K243" i="1" s="1"/>
  <c r="L183" i="1"/>
  <c r="L184" i="1" s="1"/>
  <c r="L199" i="1" s="1"/>
  <c r="K246" i="1" l="1"/>
  <c r="L185" i="1"/>
  <c r="M182" i="1" s="1"/>
  <c r="M183" i="1" s="1"/>
  <c r="M184" i="1" s="1"/>
  <c r="M199" i="1" s="1"/>
  <c r="K238" i="1"/>
  <c r="L189" i="1"/>
  <c r="L190" i="1" s="1"/>
  <c r="L225" i="1" s="1"/>
  <c r="L197" i="1"/>
  <c r="M194" i="1" s="1"/>
  <c r="L229" i="1"/>
  <c r="L230" i="1"/>
  <c r="L243" i="1" s="1"/>
  <c r="L246" i="1" s="1"/>
  <c r="L238" i="1" l="1"/>
  <c r="L241" i="1" s="1"/>
  <c r="M230" i="1"/>
  <c r="M229" i="1"/>
  <c r="K241" i="1"/>
  <c r="M185" i="1"/>
  <c r="L191" i="1"/>
  <c r="M188" i="1" s="1"/>
  <c r="M195" i="1"/>
  <c r="M196" i="1" s="1"/>
  <c r="M197" i="1" l="1"/>
  <c r="M226" i="1"/>
  <c r="M243" i="1" s="1"/>
  <c r="M189" i="1"/>
  <c r="M190" i="1"/>
  <c r="M225" i="1" s="1"/>
  <c r="M238" i="1" s="1"/>
  <c r="M246" i="1" l="1"/>
  <c r="F245" i="1"/>
  <c r="F244" i="1"/>
  <c r="M241" i="1"/>
  <c r="F239" i="1"/>
  <c r="F240" i="1"/>
  <c r="M191" i="1"/>
</calcChain>
</file>

<file path=xl/comments1.xml><?xml version="1.0" encoding="utf-8"?>
<comments xmlns="http://schemas.openxmlformats.org/spreadsheetml/2006/main">
  <authors>
    <author>BIWS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Based on sponsor's targeted unleveraged IRR for new developments.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Using the Year 2 number because Year 1 includes Absorption &amp; Turnover Vacancy, and 30% of the space is vacant in Year 1.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Discounting to its value at the end of the Construction Year, i.e. one year back.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Not counting anything here because the tenant moves in as of January 1 of this year.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 takes a year to find the tenant, so we're deducting the entire Base Rental Income here.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 tenant move-in yet, so no expense reimbursements.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 equity draws after construction finishes.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Only happens once.</t>
        </r>
      </text>
    </comment>
  </commentList>
</comments>
</file>

<file path=xl/comments2.xml><?xml version="1.0" encoding="utf-8"?>
<comments xmlns="http://schemas.openxmlformats.org/spreadsheetml/2006/main">
  <authors>
    <author>BIWS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Based on 50% LTC Ratio applied to the Total Development Costs.</t>
        </r>
      </text>
    </comment>
  </commentList>
</comments>
</file>

<file path=xl/sharedStrings.xml><?xml version="1.0" encoding="utf-8"?>
<sst xmlns="http://schemas.openxmlformats.org/spreadsheetml/2006/main" count="394" uniqueCount="202">
  <si>
    <t>Industrial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</si>
  <si>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</si>
  <si>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</si>
  <si>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</si>
  <si>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</si>
  <si>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</si>
  <si>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</si>
  <si>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</si>
  <si>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</si>
  <si>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</si>
  <si>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</si>
  <si>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</si>
  <si>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</si>
  <si>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</si>
  <si>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Only</t>
  </si>
  <si>
    <t>1 year</t>
  </si>
  <si>
    <t>($ in CAD as Stated)</t>
  </si>
  <si>
    <t>Sources of Funds:</t>
  </si>
  <si>
    <t>Construction Loan:</t>
  </si>
  <si>
    <t>Land Acquisition Costs:</t>
  </si>
  <si>
    <t>Investor Equity:</t>
  </si>
  <si>
    <t>Total Sources:</t>
  </si>
  <si>
    <t>Uses of Funds:</t>
  </si>
  <si>
    <t>Total Construction Costs:</t>
  </si>
  <si>
    <t>Number of Acres to Purchase:</t>
  </si>
  <si>
    <t>Saleable Excess Land Percentage:</t>
  </si>
  <si>
    <t>Development Overview:</t>
  </si>
  <si>
    <t>Prepayment Penalty:</t>
  </si>
  <si>
    <t>Maximum Equity Draw:</t>
  </si>
  <si>
    <t>Equity Draw:</t>
  </si>
  <si>
    <t>Monthly Interest Rate on Debt:</t>
  </si>
  <si>
    <t>Cumulative Equity Balance:</t>
  </si>
  <si>
    <t>Construction Period Projections</t>
  </si>
  <si>
    <t>Debt and Equity Draws:</t>
  </si>
  <si>
    <t>Construction Loan Draw:</t>
  </si>
  <si>
    <t>Potential Gross Revenue:</t>
  </si>
  <si>
    <t xml:space="preserve">  (-) General Vacancy:</t>
  </si>
  <si>
    <t>Operating Expenses:</t>
  </si>
  <si>
    <t>Total Operating Expenses:</t>
  </si>
  <si>
    <t>Net Operating Income (NOI):</t>
  </si>
  <si>
    <t>Applicable Cap Rate:</t>
  </si>
  <si>
    <t>Amortization (Years):</t>
  </si>
  <si>
    <t>Maturity:</t>
  </si>
  <si>
    <t>Permanent Loan Amount:</t>
  </si>
  <si>
    <t>Ending Permanent Loan Balance:</t>
  </si>
  <si>
    <t>(+) Capitalized Loan Fees:</t>
  </si>
  <si>
    <t>(+) Capitalized Interest:</t>
  </si>
  <si>
    <t>Interest Rate - Annual:</t>
  </si>
  <si>
    <t>Issuance Fees:</t>
  </si>
  <si>
    <t>Refinancing Date:</t>
  </si>
  <si>
    <t>Interest Rate - Monthly:</t>
  </si>
  <si>
    <t>Term:</t>
  </si>
  <si>
    <t>Annual Growth Rate in Land Value:</t>
  </si>
  <si>
    <t>Returns to All Equity Investors:</t>
  </si>
  <si>
    <t>(-) Equity Draws:</t>
  </si>
  <si>
    <t>(+) Permanent Loan Issued:</t>
  </si>
  <si>
    <t>(-) Construction Loan Refinanced:</t>
  </si>
  <si>
    <t>(+) Proceeds from Sale of Excess Land:</t>
  </si>
  <si>
    <t>Forward NOI:</t>
  </si>
  <si>
    <t>Implied Property Value:</t>
  </si>
  <si>
    <t>(+) Proceeds from Sale of Property:</t>
  </si>
  <si>
    <t>(-) Repayment of Permanent Loan:</t>
  </si>
  <si>
    <t>(-) Prepayment Penalty on Permanent Loan:</t>
  </si>
  <si>
    <t>Total Cash Flows to Equity Investors:</t>
  </si>
  <si>
    <t>Internal Rate of Return (IRR):</t>
  </si>
  <si>
    <t>Units:</t>
  </si>
  <si>
    <t>Name</t>
  </si>
  <si>
    <t>Date</t>
  </si>
  <si>
    <t>Construction Start Date:</t>
  </si>
  <si>
    <t>Location:</t>
  </si>
  <si>
    <t>Property Type:</t>
  </si>
  <si>
    <t>Project Name:</t>
  </si>
  <si>
    <t>%</t>
  </si>
  <si>
    <t>Construction Financing:</t>
  </si>
  <si>
    <t>Loan-to-Cost (LTC) Ratio:</t>
  </si>
  <si>
    <t>Calgary</t>
  </si>
  <si>
    <t>Developer Equity Contribution:</t>
  </si>
  <si>
    <t>IRR Hurdle 1:</t>
  </si>
  <si>
    <t># Years</t>
  </si>
  <si>
    <t>Developer Cash Flow Above IRR Hurdle 1:</t>
  </si>
  <si>
    <t>Developer Cash Flow Above IRR Hurdle 2:</t>
  </si>
  <si>
    <t>IRR Hurdle 2:</t>
  </si>
  <si>
    <t># Acres</t>
  </si>
  <si>
    <t>$ / Acre</t>
  </si>
  <si>
    <t>$</t>
  </si>
  <si>
    <t>Rent Roll &amp; Operating Assumptions:</t>
  </si>
  <si>
    <t>Construction:</t>
  </si>
  <si>
    <t>Operational Years:</t>
  </si>
  <si>
    <t>Months in Year:</t>
  </si>
  <si>
    <t>#</t>
  </si>
  <si>
    <t>Property-Wide Operating Assumptions:</t>
  </si>
  <si>
    <t>New Lease Term (Years):</t>
  </si>
  <si>
    <t>Renewal Probability:</t>
  </si>
  <si>
    <t># Months of Downtime for Non-Renewal:</t>
  </si>
  <si>
    <t>Free Rent and Capital Costs:</t>
  </si>
  <si>
    <t>New:</t>
  </si>
  <si>
    <t>Renewal:</t>
  </si>
  <si>
    <t># Months of Free Rent:</t>
  </si>
  <si>
    <t>Tenant Improvements (TIs) per RSF:</t>
  </si>
  <si>
    <t>$ / sq. ft. / Yr</t>
  </si>
  <si>
    <t>Leasing Commissions (LCs) % Total Lease Value:</t>
  </si>
  <si>
    <t>Rentable Square Feet Occupied:</t>
  </si>
  <si>
    <t>sq. ft.</t>
  </si>
  <si>
    <t>Lease Expiration Date:</t>
  </si>
  <si>
    <t>Baseline Rent per Square Foot:</t>
  </si>
  <si>
    <t>Rental Growth Rate:</t>
  </si>
  <si>
    <t>(+) Base Rental Income:</t>
  </si>
  <si>
    <t>(-) Absorption &amp; Turnover Vacancy:</t>
  </si>
  <si>
    <t>(-) Concessions &amp; Free Rent:</t>
  </si>
  <si>
    <t>(-) Tenant Improvements (TIs):</t>
  </si>
  <si>
    <t>(-) Leasing Commissions (LCs):</t>
  </si>
  <si>
    <t>(+) Expense Reimbursements:</t>
  </si>
  <si>
    <t>Annual Capital Costs:</t>
  </si>
  <si>
    <t>Replacement Reserve Amount:</t>
  </si>
  <si>
    <t xml:space="preserve">Numerical Year: </t>
  </si>
  <si>
    <t>Year</t>
  </si>
  <si>
    <t>Tenant #1 - Triple Net (NNN) Lease:</t>
  </si>
  <si>
    <t>Tenant #2 - Triple Net (NNN) Lease:</t>
  </si>
  <si>
    <t>Revenue:</t>
  </si>
  <si>
    <t>Property Pro-Forma:</t>
  </si>
  <si>
    <t>NOI Margin:</t>
  </si>
  <si>
    <t>(-) CapEx, TIs, and LCs:</t>
  </si>
  <si>
    <t>(+) Capital Costs Paid from Reserves:</t>
  </si>
  <si>
    <t>Adjusted Net Operating Income:</t>
  </si>
  <si>
    <t>Adjusted NOI Margin:</t>
  </si>
  <si>
    <t>Percentage of Construction Costs:</t>
  </si>
  <si>
    <t>Additions to Debt Balance:</t>
  </si>
  <si>
    <t>Total Additions to Debt Balance:</t>
  </si>
  <si>
    <t>Rentable Square Feet:</t>
  </si>
  <si>
    <t>Lease Start Date:</t>
  </si>
  <si>
    <t>Property Management Fees % EGI:</t>
  </si>
  <si>
    <t xml:space="preserve">  (-) Recoverable Expenses:</t>
  </si>
  <si>
    <t xml:space="preserve">  (-) Management Fee:</t>
  </si>
  <si>
    <t xml:space="preserve">  (-) CapEx, TI, and LC Reserves:</t>
  </si>
  <si>
    <t>(-) Interest Expense on Permanent Loan:</t>
  </si>
  <si>
    <t>(-) Permanent Loan Principal Repayment:</t>
  </si>
  <si>
    <t>Cash Flow to Equity Investors:</t>
  </si>
  <si>
    <t>Replacement Reserve Growth Rate:</t>
  </si>
  <si>
    <t>Replacement Reserves:</t>
  </si>
  <si>
    <t>Debt Yield:</t>
  </si>
  <si>
    <t>Interest Coverage Ratio - NOI:</t>
  </si>
  <si>
    <t>x</t>
  </si>
  <si>
    <t>Interest Coverage Ratio - Adjusted NOI:</t>
  </si>
  <si>
    <t>Debt Service Coverage Ratio (DSCR) - NOI:</t>
  </si>
  <si>
    <t>Debt Service Coverage Ratio (DSCR) - Adj. NOI:</t>
  </si>
  <si>
    <t>(+) Cash Flow to Equity Investors:</t>
  </si>
  <si>
    <t>Stabilized:</t>
  </si>
  <si>
    <t>Value of Excess Land:</t>
  </si>
  <si>
    <t>(-) Selling Costs:</t>
  </si>
  <si>
    <t>Property Selling Costs:</t>
  </si>
  <si>
    <t>Permanent Loan Refinancing &amp; Exit:</t>
  </si>
  <si>
    <t>Construction, Financing, and Exit Assumptions:</t>
  </si>
  <si>
    <t>Total Returns to Equity:</t>
  </si>
  <si>
    <t>Invested Equity:</t>
  </si>
  <si>
    <t>Cash-on-Cash Multiple:</t>
  </si>
  <si>
    <t>Annual Yield on Initial Investment:</t>
  </si>
  <si>
    <t>Waterfall Returns Schedule:</t>
  </si>
  <si>
    <t>Sources &amp; Uses of Funds:</t>
  </si>
  <si>
    <t>Leveraged IRR to All Equity Investors:</t>
  </si>
  <si>
    <t>Beginning Balance:</t>
  </si>
  <si>
    <t>Returns Accrual:</t>
  </si>
  <si>
    <t>Repayment:</t>
  </si>
  <si>
    <t>Ending Balance:</t>
  </si>
  <si>
    <t>Limited Partners (LPs):</t>
  </si>
  <si>
    <t>Cash Flow Available for Tier 2 Distribution:</t>
  </si>
  <si>
    <t>Developer Equity:</t>
  </si>
  <si>
    <t>Developer:</t>
  </si>
  <si>
    <t>Waterfall Returns Distributions by Investor Group and IRR Tier:</t>
  </si>
  <si>
    <t>Developers:</t>
  </si>
  <si>
    <t>Cash Flow Available for Tier 3 Distribution:</t>
  </si>
  <si>
    <t>Returns Analysis by Investor Group:</t>
  </si>
  <si>
    <t>Limited Partners (LP) - Leveraged Returns:</t>
  </si>
  <si>
    <t>Developers - Leveraged Returns:</t>
  </si>
  <si>
    <t>(+) Land Acquisition Costs:</t>
  </si>
  <si>
    <t>(+) Construction Costs:</t>
  </si>
  <si>
    <t>Total Development Costs:</t>
  </si>
  <si>
    <t># Square Feet in 1 Acre:</t>
  </si>
  <si>
    <t>Total Square Feet to Purchase:</t>
  </si>
  <si>
    <t>Percentage Required for Property:</t>
  </si>
  <si>
    <t>Gross Square Feet of Property:</t>
  </si>
  <si>
    <t>Construction Costs per Gross SF:</t>
  </si>
  <si>
    <t>Rentable to Gross Square Feet %:</t>
  </si>
  <si>
    <t>% Rentable Square Feet Occupied:</t>
  </si>
  <si>
    <t>Loan-to-Value (LTV) Ratio:</t>
  </si>
  <si>
    <t>Property Value @ Refinancing:</t>
  </si>
  <si>
    <t>Discount Rate:</t>
  </si>
  <si>
    <t>Expenses &amp; Taxes per SF per Year:</t>
  </si>
  <si>
    <t>Expenses &amp; Taxes Annual Growth Rate:</t>
  </si>
  <si>
    <t>$ / sq. ft.</t>
  </si>
  <si>
    <t>Property Value 1 Year After Refi.:</t>
  </si>
  <si>
    <t>4216 61 Ave SE</t>
  </si>
  <si>
    <t>Estimated Price per Acre:</t>
  </si>
  <si>
    <t>Beginning Debt Balance:</t>
  </si>
  <si>
    <t>Ending Debt Balance:</t>
  </si>
  <si>
    <t>Construction Costs:</t>
  </si>
  <si>
    <t>Replacement Reserves per SF per Year:</t>
  </si>
  <si>
    <t>Percentage of Land Acquisition Costs:</t>
  </si>
  <si>
    <t>Total Uses:</t>
  </si>
  <si>
    <t>Percentage of Replacement Reserves:</t>
  </si>
  <si>
    <t>(+) Replacement Reserves:</t>
  </si>
  <si>
    <t>Effective Gross Income (EGI):</t>
  </si>
  <si>
    <t>(-) Permanent Loan Financing Fees: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</si>
</sst>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Yes&quot;;;&quot;No&quot;"/>
    <numFmt numFmtId="167" formatCode="#,###.0\ &quot;Acres&quot;"/>
    <numFmt numFmtId="168" formatCode="0.0%_);\(0.0%\);\-_);@_)"/>
    <numFmt numFmtId="169" formatCode="yyyy\-mm\-dd"/>
    <numFmt numFmtId="170" formatCode="#,##0_);\(#,##0\);\-_);@_)"/>
    <numFmt numFmtId="171" formatCode="0.0\ \x"/>
    <numFmt numFmtId="172" formatCode="&quot;FY&quot;yy"/>
    <numFmt numFmtId="173" formatCode="#,##0\ &quot;sq. ft.&quot;"/>
    <numFmt numFmtId="174" formatCode="0.00\ \x_);\(0.00\ \x\);\-_);@_)"/>
  </numFmts>
  <fonts count="3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rgb="FF0000FF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/>
  </cellStyleXfs>
  <cellXfs count="195">
    <xf numFmtId="0" fontId="0" fillId="0" borderId="0" xfId="0"/>
    <xf numFmtId="0" fontId="3" fillId="0" borderId="0" xfId="0" applyFont="1"/>
    <xf numFmtId="0" fontId="0" fillId="0" borderId="0" xfId="0" applyFont="1" applyBorder="1"/>
    <xf numFmtId="0" fontId="4" fillId="0" borderId="0" xfId="0" applyFont="1" applyAlignment="1">
      <alignment horizontal="right"/>
    </xf>
    <xf numFmtId="0" fontId="1" fillId="0" borderId="0" xfId="0" applyFont="1"/>
    <xf numFmtId="42" fontId="4" fillId="0" borderId="0" xfId="0" applyNumberFormat="1" applyFont="1"/>
    <xf numFmtId="166" fontId="7" fillId="0" borderId="0" xfId="0" applyNumberFormat="1" applyFont="1" applyBorder="1" applyAlignment="1">
      <alignment horizontal="right"/>
    </xf>
    <xf numFmtId="0" fontId="0" fillId="0" borderId="0" xfId="0" applyFont="1"/>
    <xf numFmtId="42" fontId="10" fillId="2" borderId="4" xfId="0" applyNumberFormat="1" applyFont="1" applyFill="1" applyBorder="1" applyProtection="1">
      <protection locked="0"/>
    </xf>
    <xf numFmtId="41" fontId="11" fillId="0" borderId="0" xfId="0" applyNumberFormat="1" applyFont="1" applyBorder="1"/>
    <xf numFmtId="0" fontId="0" fillId="0" borderId="1" xfId="0" applyFont="1" applyBorder="1"/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168" fontId="10" fillId="2" borderId="4" xfId="0" applyNumberFormat="1" applyFont="1" applyFill="1" applyBorder="1" applyAlignment="1" applyProtection="1">
      <alignment horizontal="center"/>
      <protection locked="0"/>
    </xf>
    <xf numFmtId="10" fontId="10" fillId="2" borderId="4" xfId="0" applyNumberFormat="1" applyFont="1" applyFill="1" applyBorder="1" applyAlignment="1" applyProtection="1">
      <alignment horizontal="center"/>
      <protection locked="0"/>
    </xf>
    <xf numFmtId="42" fontId="11" fillId="0" borderId="0" xfId="0" applyNumberFormat="1" applyFont="1"/>
    <xf numFmtId="41" fontId="11" fillId="0" borderId="0" xfId="0" applyNumberFormat="1" applyFont="1"/>
    <xf numFmtId="169" fontId="10" fillId="2" borderId="4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" borderId="1" xfId="0" applyNumberFormat="1" applyFont="1" applyFill="1" applyBorder="1" applyAlignment="1"/>
    <xf numFmtId="170" fontId="1" fillId="0" borderId="0" xfId="0" applyNumberFormat="1" applyFont="1" applyBorder="1"/>
    <xf numFmtId="0" fontId="0" fillId="0" borderId="1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42" fontId="11" fillId="0" borderId="0" xfId="0" applyNumberFormat="1" applyFont="1" applyBorder="1"/>
    <xf numFmtId="167" fontId="10" fillId="2" borderId="4" xfId="0" applyNumberFormat="1" applyFont="1" applyFill="1" applyBorder="1" applyAlignment="1">
      <alignment horizontal="center"/>
    </xf>
    <xf numFmtId="42" fontId="14" fillId="0" borderId="0" xfId="0" applyNumberFormat="1" applyFont="1"/>
    <xf numFmtId="41" fontId="11" fillId="0" borderId="1" xfId="0" applyNumberFormat="1" applyFont="1" applyBorder="1"/>
    <xf numFmtId="41" fontId="0" fillId="0" borderId="0" xfId="0" applyNumberFormat="1" applyFont="1"/>
    <xf numFmtId="41" fontId="10" fillId="2" borderId="4" xfId="0" applyNumberFormat="1" applyFont="1" applyFill="1" applyBorder="1" applyProtection="1">
      <protection locked="0"/>
    </xf>
    <xf numFmtId="10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41" fontId="14" fillId="0" borderId="2" xfId="0" applyNumberFormat="1" applyFont="1" applyBorder="1"/>
    <xf numFmtId="41" fontId="14" fillId="0" borderId="0" xfId="0" applyNumberFormat="1" applyFont="1" applyBorder="1"/>
    <xf numFmtId="0" fontId="3" fillId="0" borderId="0" xfId="0" applyFont="1" applyFill="1"/>
    <xf numFmtId="168" fontId="10" fillId="2" borderId="5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/>
    <xf numFmtId="0" fontId="3" fillId="3" borderId="1" xfId="0" applyFont="1" applyFill="1" applyBorder="1"/>
    <xf numFmtId="164" fontId="11" fillId="0" borderId="0" xfId="0" applyNumberFormat="1" applyFont="1"/>
    <xf numFmtId="41" fontId="13" fillId="0" borderId="0" xfId="0" applyNumberFormat="1" applyFont="1"/>
    <xf numFmtId="0" fontId="0" fillId="3" borderId="1" xfId="0" applyFont="1" applyFill="1" applyBorder="1"/>
    <xf numFmtId="0" fontId="17" fillId="0" borderId="0" xfId="0" applyFont="1"/>
    <xf numFmtId="1" fontId="10" fillId="2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41" fontId="1" fillId="0" borderId="2" xfId="0" applyNumberFormat="1" applyFont="1" applyBorder="1"/>
    <xf numFmtId="165" fontId="14" fillId="0" borderId="0" xfId="0" applyNumberFormat="1" applyFont="1" applyAlignment="1">
      <alignment horizontal="center"/>
    </xf>
    <xf numFmtId="0" fontId="18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2" fillId="4" borderId="1" xfId="0" applyFont="1" applyFill="1" applyBorder="1" applyAlignment="1"/>
    <xf numFmtId="0" fontId="3" fillId="4" borderId="1" xfId="0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4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Continuous"/>
    </xf>
    <xf numFmtId="0" fontId="9" fillId="4" borderId="7" xfId="0" applyNumberFormat="1" applyFont="1" applyFill="1" applyBorder="1" applyAlignment="1">
      <alignment horizontal="centerContinuous"/>
    </xf>
    <xf numFmtId="0" fontId="9" fillId="4" borderId="1" xfId="0" applyNumberFormat="1" applyFont="1" applyFill="1" applyBorder="1" applyAlignment="1">
      <alignment horizontal="left"/>
    </xf>
    <xf numFmtId="172" fontId="9" fillId="4" borderId="1" xfId="0" applyNumberFormat="1" applyFont="1" applyFill="1" applyBorder="1" applyAlignment="1">
      <alignment horizontal="center"/>
    </xf>
    <xf numFmtId="172" fontId="9" fillId="4" borderId="8" xfId="0" applyNumberFormat="1" applyFont="1" applyFill="1" applyBorder="1" applyAlignment="1">
      <alignment horizontal="center"/>
    </xf>
    <xf numFmtId="0" fontId="21" fillId="0" borderId="0" xfId="0" applyNumberFormat="1" applyFont="1" applyBorder="1"/>
    <xf numFmtId="43" fontId="11" fillId="0" borderId="0" xfId="0" applyNumberFormat="1" applyFont="1" applyBorder="1"/>
    <xf numFmtId="0" fontId="22" fillId="3" borderId="1" xfId="0" applyNumberFormat="1" applyFont="1" applyFill="1" applyBorder="1"/>
    <xf numFmtId="0" fontId="19" fillId="3" borderId="1" xfId="0" applyNumberFormat="1" applyFont="1" applyFill="1" applyBorder="1" applyAlignment="1">
      <alignment horizontal="left"/>
    </xf>
    <xf numFmtId="0" fontId="21" fillId="3" borderId="1" xfId="0" applyNumberFormat="1" applyFont="1" applyFill="1" applyBorder="1"/>
    <xf numFmtId="0" fontId="21" fillId="3" borderId="1" xfId="0" applyFont="1" applyFill="1" applyBorder="1"/>
    <xf numFmtId="0" fontId="21" fillId="0" borderId="0" xfId="0" applyNumberFormat="1" applyFont="1" applyBorder="1" applyAlignment="1">
      <alignment horizontal="left" indent="1"/>
    </xf>
    <xf numFmtId="170" fontId="10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19" fillId="0" borderId="0" xfId="0" quotePrefix="1" applyNumberFormat="1" applyFont="1" applyBorder="1" applyAlignment="1">
      <alignment horizontal="center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>
      <alignment horizontal="center"/>
    </xf>
    <xf numFmtId="44" fontId="10" fillId="2" borderId="4" xfId="0" applyNumberFormat="1" applyFont="1" applyFill="1" applyBorder="1" applyAlignment="1" applyProtection="1">
      <alignment horizontal="center"/>
      <protection locked="0"/>
    </xf>
    <xf numFmtId="43" fontId="10" fillId="2" borderId="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173" fontId="10" fillId="2" borderId="4" xfId="0" applyNumberFormat="1" applyFont="1" applyFill="1" applyBorder="1" applyProtection="1">
      <protection locked="0"/>
    </xf>
    <xf numFmtId="44" fontId="11" fillId="0" borderId="0" xfId="0" applyNumberFormat="1" applyFont="1" applyFill="1" applyBorder="1" applyProtection="1">
      <protection locked="0"/>
    </xf>
    <xf numFmtId="44" fontId="10" fillId="0" borderId="9" xfId="0" applyNumberFormat="1" applyFont="1" applyFill="1" applyBorder="1" applyAlignment="1" applyProtection="1">
      <alignment horizontal="center"/>
      <protection locked="0"/>
    </xf>
    <xf numFmtId="168" fontId="10" fillId="0" borderId="10" xfId="0" applyNumberFormat="1" applyFont="1" applyFill="1" applyBorder="1" applyAlignment="1" applyProtection="1">
      <alignment horizontal="center"/>
      <protection locked="0"/>
    </xf>
    <xf numFmtId="170" fontId="25" fillId="0" borderId="0" xfId="0" applyNumberFormat="1" applyFont="1" applyBorder="1"/>
    <xf numFmtId="170" fontId="21" fillId="0" borderId="0" xfId="0" applyNumberFormat="1" applyFont="1" applyBorder="1"/>
    <xf numFmtId="0" fontId="2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0" fillId="0" borderId="0" xfId="0" applyNumberFormat="1" applyFont="1"/>
    <xf numFmtId="0" fontId="19" fillId="0" borderId="2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2" fontId="11" fillId="0" borderId="0" xfId="0" applyNumberFormat="1" applyFont="1" applyFill="1" applyBorder="1" applyProtection="1">
      <protection locked="0"/>
    </xf>
    <xf numFmtId="42" fontId="14" fillId="0" borderId="0" xfId="0" applyNumberFormat="1" applyFont="1" applyBorder="1"/>
    <xf numFmtId="0" fontId="21" fillId="0" borderId="0" xfId="0" applyNumberFormat="1" applyFont="1" applyFill="1" applyBorder="1"/>
    <xf numFmtId="0" fontId="21" fillId="0" borderId="0" xfId="0" applyFont="1" applyFill="1" applyBorder="1"/>
    <xf numFmtId="170" fontId="27" fillId="0" borderId="0" xfId="0" applyNumberFormat="1" applyFont="1" applyBorder="1"/>
    <xf numFmtId="168" fontId="19" fillId="0" borderId="0" xfId="0" applyNumberFormat="1" applyFont="1" applyBorder="1"/>
    <xf numFmtId="168" fontId="10" fillId="0" borderId="11" xfId="0" applyNumberFormat="1" applyFont="1" applyFill="1" applyBorder="1" applyAlignment="1" applyProtection="1">
      <alignment horizontal="center"/>
      <protection locked="0"/>
    </xf>
    <xf numFmtId="168" fontId="10" fillId="0" borderId="12" xfId="0" applyNumberFormat="1" applyFont="1" applyFill="1" applyBorder="1" applyAlignment="1" applyProtection="1">
      <alignment horizontal="center"/>
      <protection locked="0"/>
    </xf>
    <xf numFmtId="170" fontId="22" fillId="0" borderId="0" xfId="0" applyNumberFormat="1" applyFont="1" applyBorder="1"/>
    <xf numFmtId="0" fontId="1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3" fillId="0" borderId="0" xfId="0" applyFont="1" applyBorder="1"/>
    <xf numFmtId="0" fontId="0" fillId="0" borderId="1" xfId="0" applyBorder="1"/>
    <xf numFmtId="41" fontId="10" fillId="2" borderId="13" xfId="0" applyNumberFormat="1" applyFont="1" applyFill="1" applyBorder="1" applyProtection="1">
      <protection locked="0"/>
    </xf>
    <xf numFmtId="168" fontId="23" fillId="0" borderId="0" xfId="0" applyNumberFormat="1" applyFont="1" applyAlignment="1">
      <alignment horizontal="center"/>
    </xf>
    <xf numFmtId="168" fontId="0" fillId="0" borderId="0" xfId="0" applyNumberFormat="1" applyFont="1"/>
    <xf numFmtId="9" fontId="11" fillId="0" borderId="0" xfId="0" applyNumberFormat="1" applyFont="1" applyBorder="1"/>
    <xf numFmtId="174" fontId="19" fillId="0" borderId="0" xfId="0" applyNumberFormat="1" applyFont="1" applyBorder="1"/>
    <xf numFmtId="0" fontId="11" fillId="0" borderId="0" xfId="0" applyFont="1"/>
    <xf numFmtId="171" fontId="26" fillId="0" borderId="0" xfId="0" applyNumberFormat="1" applyFont="1" applyBorder="1" applyAlignment="1">
      <alignment horizontal="center"/>
    </xf>
    <xf numFmtId="41" fontId="0" fillId="0" borderId="0" xfId="0" applyNumberFormat="1"/>
    <xf numFmtId="168" fontId="21" fillId="0" borderId="0" xfId="0" quotePrefix="1" applyNumberFormat="1" applyFont="1" applyBorder="1" applyAlignment="1"/>
    <xf numFmtId="0" fontId="18" fillId="4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26" fillId="3" borderId="1" xfId="0" applyFont="1" applyFill="1" applyBorder="1"/>
    <xf numFmtId="0" fontId="1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left" indent="1"/>
    </xf>
    <xf numFmtId="41" fontId="26" fillId="0" borderId="0" xfId="0" applyNumberFormat="1" applyFont="1"/>
    <xf numFmtId="168" fontId="26" fillId="0" borderId="0" xfId="0" applyNumberFormat="1" applyFont="1" applyAlignment="1">
      <alignment horizontal="center"/>
    </xf>
    <xf numFmtId="0" fontId="26" fillId="0" borderId="14" xfId="0" applyFont="1" applyBorder="1"/>
    <xf numFmtId="0" fontId="26" fillId="0" borderId="1" xfId="0" applyFont="1" applyBorder="1"/>
    <xf numFmtId="0" fontId="26" fillId="0" borderId="2" xfId="0" applyFont="1" applyBorder="1"/>
    <xf numFmtId="0" fontId="26" fillId="0" borderId="1" xfId="0" applyFont="1" applyBorder="1" applyAlignment="1">
      <alignment horizontal="left" indent="1"/>
    </xf>
    <xf numFmtId="168" fontId="26" fillId="0" borderId="1" xfId="0" applyNumberFormat="1" applyFont="1" applyBorder="1" applyAlignment="1">
      <alignment horizontal="center"/>
    </xf>
    <xf numFmtId="41" fontId="1" fillId="0" borderId="0" xfId="0" applyNumberFormat="1" applyFont="1"/>
    <xf numFmtId="0" fontId="22" fillId="5" borderId="15" xfId="0" applyNumberFormat="1" applyFont="1" applyFill="1" applyBorder="1" applyAlignment="1">
      <alignment horizontal="left"/>
    </xf>
    <xf numFmtId="0" fontId="24" fillId="5" borderId="16" xfId="0" applyNumberFormat="1" applyFont="1" applyFill="1" applyBorder="1" applyAlignment="1">
      <alignment horizontal="center"/>
    </xf>
    <xf numFmtId="0" fontId="22" fillId="5" borderId="16" xfId="0" applyNumberFormat="1" applyFont="1" applyFill="1" applyBorder="1"/>
    <xf numFmtId="168" fontId="1" fillId="5" borderId="17" xfId="0" applyNumberFormat="1" applyFont="1" applyFill="1" applyBorder="1" applyAlignment="1">
      <alignment horizontal="center"/>
    </xf>
    <xf numFmtId="0" fontId="0" fillId="3" borderId="1" xfId="0" applyFill="1" applyBorder="1"/>
    <xf numFmtId="168" fontId="0" fillId="0" borderId="0" xfId="0" applyNumberFormat="1" applyFont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41" fontId="11" fillId="0" borderId="0" xfId="0" applyNumberFormat="1" applyFont="1" applyFill="1" applyBorder="1" applyProtection="1">
      <protection locked="0"/>
    </xf>
    <xf numFmtId="42" fontId="14" fillId="0" borderId="2" xfId="0" applyNumberFormat="1" applyFont="1" applyBorder="1"/>
    <xf numFmtId="173" fontId="11" fillId="0" borderId="11" xfId="0" applyNumberFormat="1" applyFont="1" applyFill="1" applyBorder="1" applyProtection="1">
      <protection locked="0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9" fillId="0" borderId="0" xfId="0" applyFont="1"/>
    <xf numFmtId="42" fontId="11" fillId="0" borderId="11" xfId="0" applyNumberFormat="1" applyFont="1" applyFill="1" applyBorder="1" applyProtection="1">
      <protection locked="0"/>
    </xf>
    <xf numFmtId="168" fontId="1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 horizontal="left" indent="1"/>
    </xf>
    <xf numFmtId="173" fontId="11" fillId="0" borderId="18" xfId="0" applyNumberFormat="1" applyFont="1" applyFill="1" applyBorder="1" applyProtection="1">
      <protection locked="0"/>
    </xf>
    <xf numFmtId="0" fontId="11" fillId="0" borderId="0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70" fontId="11" fillId="0" borderId="0" xfId="0" applyNumberFormat="1" applyFont="1" applyBorder="1" applyAlignment="1">
      <alignment horizontal="left" indent="1"/>
    </xf>
    <xf numFmtId="0" fontId="10" fillId="2" borderId="4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>
      <alignment horizontal="left"/>
    </xf>
    <xf numFmtId="171" fontId="14" fillId="0" borderId="0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68" fontId="27" fillId="0" borderId="0" xfId="0" quotePrefix="1" applyNumberFormat="1" applyFont="1" applyBorder="1" applyAlignment="1"/>
    <xf numFmtId="0" fontId="27" fillId="0" borderId="0" xfId="0" applyNumberFormat="1" applyFont="1" applyBorder="1"/>
    <xf numFmtId="0" fontId="14" fillId="0" borderId="0" xfId="0" applyNumberFormat="1" applyFont="1" applyBorder="1"/>
    <xf numFmtId="0" fontId="27" fillId="0" borderId="0" xfId="0" applyNumberFormat="1" applyFont="1" applyBorder="1" applyAlignment="1">
      <alignment horizontal="left" indent="1"/>
    </xf>
    <xf numFmtId="0" fontId="14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7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1"/>
    </xf>
    <xf numFmtId="0" fontId="27" fillId="0" borderId="0" xfId="0" applyFont="1"/>
    <xf numFmtId="0" fontId="30" fillId="0" borderId="0" xfId="0" applyNumberFormat="1" applyFont="1" applyFill="1" applyBorder="1" applyAlignment="1">
      <alignment horizontal="left" indent="1"/>
    </xf>
    <xf numFmtId="0" fontId="23" fillId="0" borderId="0" xfId="0" applyFont="1"/>
    <xf numFmtId="0" fontId="14" fillId="0" borderId="0" xfId="0" applyNumberFormat="1" applyFont="1" applyFill="1" applyBorder="1" applyAlignment="1">
      <alignment horizontal="left"/>
    </xf>
    <xf numFmtId="0" fontId="30" fillId="0" borderId="0" xfId="0" applyNumberFormat="1" applyFont="1" applyBorder="1"/>
    <xf numFmtId="14" fontId="0" fillId="0" borderId="0" xfId="0" applyNumberFormat="1" applyFont="1" applyAlignment="1">
      <alignment horizontal="center"/>
    </xf>
    <xf numFmtId="41" fontId="10" fillId="0" borderId="11" xfId="0" applyNumberFormat="1" applyFont="1" applyFill="1" applyBorder="1" applyProtection="1">
      <protection locked="0"/>
    </xf>
    <xf numFmtId="169" fontId="11" fillId="2" borderId="4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>
      <alignment horizontal="center"/>
    </xf>
    <xf numFmtId="0" fontId="31" fillId="0" borderId="0" xfId="78" applyFont="1" applyFill="1" applyBorder="1"/>
    <xf numFmtId="0" fontId="11" fillId="0" borderId="0" xfId="78" applyFont="1" applyFill="1" applyBorder="1"/>
    <xf numFmtId="0" fontId="0" fillId="0" borderId="0" xfId="0" applyFont="1" applyFill="1" applyBorder="1"/>
    <xf numFmtId="0" fontId="0" fillId="0" borderId="0" xfId="0" quotePrefix="1" applyFont="1" applyFill="1" applyBorder="1"/>
    <xf numFmtId="0" fontId="19" fillId="0" borderId="0" xfId="0" applyFont="1" applyBorder="1" applyAlignment="1">
      <alignment horizontal="center"/>
    </xf>
    <xf numFmtId="42" fontId="1" fillId="0" borderId="2" xfId="0" applyNumberFormat="1" applyFont="1" applyBorder="1"/>
    <xf numFmtId="44" fontId="11" fillId="0" borderId="0" xfId="0" applyNumberFormat="1" applyFont="1"/>
    <xf numFmtId="41" fontId="11" fillId="0" borderId="0" xfId="0" applyNumberFormat="1" applyFont="1" applyFill="1" applyBorder="1"/>
    <xf numFmtId="41" fontId="0" fillId="0" borderId="0" xfId="0" applyNumberFormat="1" applyFont="1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6" builtinId="8" hidden="1"/>
    <cellStyle name="Normal" xfId="0" builtinId="0"/>
    <cellStyle name="Normal 2" xfId="78"/>
    <cellStyle name="Normal 22" xfId="75"/>
  </cellStyles>
  <dxfs count="0"/>
  <tableStyles count="0" defaultTableStyle="TableStyleMedium9" defaultPivotStyle="PivotStyleMedium7"/>
  <colors>
    <mruColors>
      <color rgb="FF0000FF"/>
      <color rgb="FF1F497D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AE247"/>
  <sheetViews>
    <sheetView showGridLines="0" tabSelected="1" zoomScaleNormal="100" workbookViewId="0">
      <selection activeCell="B2" sqref="B2"/>
    </sheetView>
  </sheetViews>
  <sheetFormatPr defaultColWidth="11" defaultRowHeight="15.75" outlineLevelRow="1" x14ac:dyDescent="0.25"/>
  <cols>
    <col min="1" max="2" width="2.625" customWidth="1"/>
    <col min="3" max="3" width="40.125" bestFit="1" customWidth="1"/>
    <col min="4" max="18" width="14.125" customWidth="1"/>
  </cols>
  <sheetData>
    <row r="1" spans="2:27" x14ac:dyDescent="0.25">
      <c r="C1" s="1"/>
      <c r="D1" s="1"/>
      <c r="E1" s="1"/>
      <c r="F1" s="1"/>
      <c r="G1" s="1"/>
      <c r="H1" s="1"/>
      <c r="I1" s="1"/>
      <c r="J1" s="1"/>
    </row>
    <row r="2" spans="2:27" ht="18.75" x14ac:dyDescent="0.3">
      <c r="B2" s="49" t="str">
        <f>E7&amp;" - Investment Analysis"</f>
        <v>4216 61 Ave SE - Investment Analysis</v>
      </c>
      <c r="C2" s="1"/>
      <c r="D2" s="1"/>
      <c r="E2" s="1"/>
      <c r="F2" s="1"/>
      <c r="G2" s="1"/>
      <c r="H2" s="1"/>
      <c r="I2" s="1"/>
      <c r="J2" s="1"/>
    </row>
    <row r="3" spans="2:27" x14ac:dyDescent="0.25">
      <c r="B3" s="7" t="s">
        <v>16</v>
      </c>
      <c r="C3" s="1"/>
      <c r="D3" s="1"/>
      <c r="E3" s="1"/>
      <c r="F3" s="1"/>
      <c r="G3" s="1"/>
      <c r="H3" s="1"/>
      <c r="I3" s="1"/>
      <c r="J3" s="1"/>
    </row>
    <row r="4" spans="2:27" x14ac:dyDescent="0.25">
      <c r="B4" s="1"/>
      <c r="C4" s="1"/>
      <c r="D4" s="1"/>
      <c r="E4" s="1"/>
      <c r="F4" s="1"/>
      <c r="G4" s="1"/>
      <c r="H4" s="1"/>
      <c r="I4" s="1"/>
      <c r="J4" s="1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2:27" x14ac:dyDescent="0.25">
      <c r="B5" s="55" t="s">
        <v>26</v>
      </c>
      <c r="C5" s="56"/>
      <c r="D5" s="54" t="s">
        <v>65</v>
      </c>
      <c r="E5" s="57"/>
      <c r="F5" s="57"/>
      <c r="G5" s="57"/>
      <c r="H5" s="57"/>
      <c r="I5" s="54" t="str">
        <f>+$D$5</f>
        <v>Units:</v>
      </c>
      <c r="J5" s="57"/>
      <c r="K5" s="57"/>
      <c r="M5" s="186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88"/>
      <c r="Y5" s="188"/>
      <c r="Z5" s="188"/>
      <c r="AA5" s="188"/>
    </row>
    <row r="6" spans="2:27" outlineLevel="1" x14ac:dyDescent="0.25">
      <c r="B6" s="1"/>
      <c r="C6" s="1"/>
      <c r="D6" s="1"/>
      <c r="E6" s="1"/>
      <c r="F6" s="1"/>
      <c r="G6" s="1"/>
      <c r="H6" s="1"/>
      <c r="I6" s="1"/>
      <c r="J6" s="1"/>
      <c r="M6" s="187"/>
      <c r="N6" s="188"/>
      <c r="O6" s="187"/>
      <c r="P6" s="187"/>
      <c r="Q6" s="187"/>
      <c r="R6" s="187"/>
      <c r="S6" s="187"/>
      <c r="T6" s="187"/>
      <c r="U6" s="187"/>
      <c r="V6" s="187"/>
      <c r="W6" s="188"/>
      <c r="X6" s="188"/>
      <c r="Y6" s="188"/>
      <c r="Z6" s="188"/>
      <c r="AA6" s="188"/>
    </row>
    <row r="7" spans="2:27" outlineLevel="1" x14ac:dyDescent="0.25">
      <c r="C7" s="122" t="s">
        <v>71</v>
      </c>
      <c r="D7" s="152" t="s">
        <v>66</v>
      </c>
      <c r="E7" s="163" t="s">
        <v>190</v>
      </c>
      <c r="F7" s="1"/>
      <c r="G7" s="122" t="s">
        <v>176</v>
      </c>
      <c r="H7" s="122"/>
      <c r="I7" s="154" t="s">
        <v>102</v>
      </c>
      <c r="J7" s="89">
        <v>43560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2:27" outlineLevel="1" x14ac:dyDescent="0.25">
      <c r="C8" s="122" t="s">
        <v>70</v>
      </c>
      <c r="D8" s="152" t="s">
        <v>66</v>
      </c>
      <c r="E8" s="22" t="s">
        <v>0</v>
      </c>
      <c r="F8" s="1"/>
      <c r="G8" s="122" t="s">
        <v>177</v>
      </c>
      <c r="H8" s="122"/>
      <c r="I8" s="154" t="s">
        <v>102</v>
      </c>
      <c r="J8" s="151">
        <f>+Num_Acres*Sq_Ft_in_Acre</f>
        <v>784080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2:27" outlineLevel="1" x14ac:dyDescent="0.25">
      <c r="C9" s="122"/>
      <c r="D9" s="122"/>
      <c r="E9" s="3"/>
      <c r="F9" s="1"/>
      <c r="G9" s="122" t="s">
        <v>178</v>
      </c>
      <c r="H9" s="122"/>
      <c r="I9" s="152" t="s">
        <v>72</v>
      </c>
      <c r="J9" s="17">
        <v>0.43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2:27" outlineLevel="1" x14ac:dyDescent="0.25">
      <c r="C10" s="122" t="s">
        <v>69</v>
      </c>
      <c r="D10" s="152" t="s">
        <v>66</v>
      </c>
      <c r="E10" s="22" t="s">
        <v>75</v>
      </c>
      <c r="F10" s="1"/>
      <c r="G10" s="122" t="s">
        <v>179</v>
      </c>
      <c r="H10" s="122"/>
      <c r="I10" s="154" t="s">
        <v>102</v>
      </c>
      <c r="J10" s="151">
        <f>+J8*J9</f>
        <v>337154.4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</row>
    <row r="11" spans="2:27" outlineLevel="1" x14ac:dyDescent="0.25">
      <c r="C11" s="122" t="s">
        <v>68</v>
      </c>
      <c r="D11" s="152" t="s">
        <v>67</v>
      </c>
      <c r="E11" s="21">
        <v>43101</v>
      </c>
      <c r="F11" s="1"/>
      <c r="G11" s="122"/>
      <c r="H11" s="122"/>
      <c r="I11" s="122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</row>
    <row r="12" spans="2:27" outlineLevel="1" x14ac:dyDescent="0.25">
      <c r="C12" s="168" t="s">
        <v>88</v>
      </c>
      <c r="D12" s="152" t="s">
        <v>89</v>
      </c>
      <c r="E12" s="50">
        <v>12</v>
      </c>
      <c r="F12" s="1"/>
      <c r="G12" s="122" t="s">
        <v>181</v>
      </c>
      <c r="H12" s="122"/>
      <c r="I12" s="152" t="s">
        <v>72</v>
      </c>
      <c r="J12" s="17">
        <v>0.95</v>
      </c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  <row r="13" spans="2:27" outlineLevel="1" x14ac:dyDescent="0.25">
      <c r="C13" s="122"/>
      <c r="D13" s="122"/>
      <c r="G13" s="122" t="s">
        <v>128</v>
      </c>
      <c r="H13" s="122"/>
      <c r="I13" s="154" t="s">
        <v>102</v>
      </c>
      <c r="J13" s="151">
        <f>+J12*Gross_Square_Feet</f>
        <v>320296.68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</row>
    <row r="14" spans="2:27" outlineLevel="1" x14ac:dyDescent="0.25">
      <c r="C14" s="122" t="s">
        <v>24</v>
      </c>
      <c r="D14" s="153" t="s">
        <v>82</v>
      </c>
      <c r="E14" s="31">
        <v>18</v>
      </c>
      <c r="G14" s="122"/>
      <c r="H14" s="122"/>
      <c r="I14" s="122"/>
      <c r="M14" s="193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</row>
    <row r="15" spans="2:27" outlineLevel="1" x14ac:dyDescent="0.25">
      <c r="C15" s="122" t="s">
        <v>191</v>
      </c>
      <c r="D15" s="153" t="s">
        <v>83</v>
      </c>
      <c r="E15" s="8">
        <v>700000</v>
      </c>
      <c r="G15" s="122" t="s">
        <v>180</v>
      </c>
      <c r="H15" s="155"/>
      <c r="I15" s="152" t="s">
        <v>188</v>
      </c>
      <c r="J15" s="85">
        <v>50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2:27" outlineLevel="1" x14ac:dyDescent="0.25">
      <c r="C16" s="122" t="s">
        <v>19</v>
      </c>
      <c r="D16" s="61" t="s">
        <v>84</v>
      </c>
      <c r="E16" s="19">
        <f>+Num_Acres*Cost_per_Acre</f>
        <v>12600000</v>
      </c>
      <c r="G16" s="122" t="s">
        <v>23</v>
      </c>
      <c r="H16" s="122"/>
      <c r="I16" s="61" t="s">
        <v>84</v>
      </c>
      <c r="J16" s="156">
        <f>+J15*Gross_Square_Feet</f>
        <v>16857720</v>
      </c>
      <c r="M16" s="194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2:27" outlineLevel="1" x14ac:dyDescent="0.25">
      <c r="C17" s="122"/>
      <c r="D17" s="122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</row>
    <row r="18" spans="2:27" outlineLevel="1" x14ac:dyDescent="0.25">
      <c r="C18" s="122" t="s">
        <v>25</v>
      </c>
      <c r="D18" s="152" t="s">
        <v>72</v>
      </c>
      <c r="E18" s="157">
        <f>1-J9</f>
        <v>0.57000000000000006</v>
      </c>
      <c r="H18" s="155"/>
      <c r="I18" s="122"/>
      <c r="J18" s="6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</row>
    <row r="19" spans="2:27" x14ac:dyDescent="0.25">
      <c r="G19" s="122"/>
      <c r="H19" s="122"/>
      <c r="I19" s="122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</row>
    <row r="20" spans="2:27" x14ac:dyDescent="0.25">
      <c r="B20" s="58" t="s">
        <v>151</v>
      </c>
      <c r="C20" s="59"/>
      <c r="D20" s="54" t="str">
        <f>+$D$5</f>
        <v>Units:</v>
      </c>
      <c r="E20" s="57"/>
      <c r="F20" s="57"/>
      <c r="G20" s="57"/>
      <c r="H20" s="57"/>
      <c r="I20" s="54" t="str">
        <f>+$D$5</f>
        <v>Units:</v>
      </c>
      <c r="J20" s="57"/>
      <c r="K20" s="5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outlineLevel="1" x14ac:dyDescent="0.25">
      <c r="B21" s="1"/>
      <c r="C21" s="1"/>
      <c r="D21" s="1"/>
      <c r="E21" s="1"/>
      <c r="F21" s="1"/>
      <c r="G21" s="1"/>
      <c r="H21" s="1"/>
      <c r="I21" s="1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2" spans="2:27" outlineLevel="1" x14ac:dyDescent="0.25">
      <c r="C22" s="44" t="s">
        <v>73</v>
      </c>
      <c r="D22" s="44"/>
      <c r="E22" s="45"/>
      <c r="F22" s="42"/>
      <c r="G22" s="44" t="s">
        <v>150</v>
      </c>
      <c r="H22" s="45"/>
      <c r="I22" s="45"/>
      <c r="J22" s="45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</row>
    <row r="23" spans="2:27" outlineLevel="1" x14ac:dyDescent="0.25">
      <c r="C23" s="29" t="s">
        <v>74</v>
      </c>
      <c r="D23" s="152" t="s">
        <v>72</v>
      </c>
      <c r="E23" s="43">
        <v>0.5</v>
      </c>
      <c r="F23" s="1"/>
      <c r="G23" s="29" t="s">
        <v>183</v>
      </c>
      <c r="H23" s="122"/>
      <c r="I23" s="152" t="s">
        <v>72</v>
      </c>
      <c r="J23" s="43">
        <v>0.55000000000000004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</row>
    <row r="24" spans="2:27" outlineLevel="1" x14ac:dyDescent="0.25">
      <c r="C24" s="29" t="s">
        <v>47</v>
      </c>
      <c r="D24" s="152" t="s">
        <v>72</v>
      </c>
      <c r="E24" s="18">
        <v>6.25E-2</v>
      </c>
      <c r="F24" s="1"/>
      <c r="G24" s="29" t="s">
        <v>47</v>
      </c>
      <c r="H24" s="122"/>
      <c r="I24" s="152" t="s">
        <v>72</v>
      </c>
      <c r="J24" s="18">
        <v>4.7500000000000001E-2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</row>
    <row r="25" spans="2:27" outlineLevel="1" x14ac:dyDescent="0.25">
      <c r="C25" s="29" t="s">
        <v>50</v>
      </c>
      <c r="D25" s="152" t="s">
        <v>72</v>
      </c>
      <c r="E25" s="185">
        <f>(1+Constr_Loan_Ann_Interest)^(1/Months)-1</f>
        <v>5.0648349497708356E-3</v>
      </c>
      <c r="F25" s="1"/>
      <c r="G25" s="29"/>
      <c r="H25" s="122"/>
      <c r="I25" s="122"/>
      <c r="J25" s="46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</row>
    <row r="26" spans="2:27" outlineLevel="1" x14ac:dyDescent="0.25">
      <c r="C26" s="29" t="s">
        <v>48</v>
      </c>
      <c r="D26" s="152" t="s">
        <v>72</v>
      </c>
      <c r="E26" s="18">
        <v>0.01</v>
      </c>
      <c r="F26" s="1"/>
      <c r="G26" s="29" t="s">
        <v>48</v>
      </c>
      <c r="H26" s="122"/>
      <c r="I26" s="152" t="s">
        <v>72</v>
      </c>
      <c r="J26" s="18">
        <v>0.01</v>
      </c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</row>
    <row r="27" spans="2:27" outlineLevel="1" x14ac:dyDescent="0.25">
      <c r="C27" s="29" t="s">
        <v>41</v>
      </c>
      <c r="D27" s="61" t="s">
        <v>78</v>
      </c>
      <c r="E27" s="22" t="s">
        <v>14</v>
      </c>
      <c r="F27" s="1"/>
      <c r="G27" s="29" t="s">
        <v>41</v>
      </c>
      <c r="H27" s="122"/>
      <c r="I27" s="61" t="s">
        <v>78</v>
      </c>
      <c r="J27" s="22">
        <v>30</v>
      </c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2:27" outlineLevel="1" x14ac:dyDescent="0.25">
      <c r="C28" s="29" t="s">
        <v>42</v>
      </c>
      <c r="D28" s="152" t="s">
        <v>67</v>
      </c>
      <c r="E28" s="184">
        <f>EOMONTH(Constr_Start_Date,Months-1)</f>
        <v>43465</v>
      </c>
      <c r="F28" s="1"/>
      <c r="G28" s="29" t="s">
        <v>42</v>
      </c>
      <c r="H28" s="122"/>
      <c r="I28" s="154" t="s">
        <v>67</v>
      </c>
      <c r="J28" s="21">
        <f>EOMONTH(J30,10*Months)</f>
        <v>47118</v>
      </c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2:27" outlineLevel="1" x14ac:dyDescent="0.25">
      <c r="C29" s="29" t="s">
        <v>51</v>
      </c>
      <c r="D29" s="61" t="s">
        <v>78</v>
      </c>
      <c r="E29" s="22" t="s">
        <v>15</v>
      </c>
      <c r="F29" s="1"/>
      <c r="G29" s="29" t="s">
        <v>27</v>
      </c>
      <c r="H29" s="122"/>
      <c r="I29" s="152" t="s">
        <v>72</v>
      </c>
      <c r="J29" s="18">
        <v>0.01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2:27" outlineLevel="1" x14ac:dyDescent="0.25">
      <c r="B30" s="1"/>
      <c r="C30" s="122"/>
      <c r="D30" s="122"/>
      <c r="E30" s="1"/>
      <c r="F30" s="1"/>
      <c r="G30" s="29" t="s">
        <v>49</v>
      </c>
      <c r="H30" s="122"/>
      <c r="I30" s="154" t="s">
        <v>67</v>
      </c>
      <c r="J30" s="21">
        <v>43465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2:27" ht="17.100000000000001" customHeight="1" outlineLevel="1" x14ac:dyDescent="0.25">
      <c r="C31" s="29" t="s">
        <v>76</v>
      </c>
      <c r="D31" s="152" t="s">
        <v>72</v>
      </c>
      <c r="E31" s="17">
        <v>0.1</v>
      </c>
      <c r="F31" s="1"/>
      <c r="G31" s="122"/>
      <c r="H31" s="122"/>
      <c r="I31" s="122"/>
      <c r="M31" s="186"/>
      <c r="N31" s="187"/>
      <c r="O31" s="187"/>
      <c r="P31" s="187"/>
      <c r="Q31" s="187"/>
      <c r="R31" s="187"/>
      <c r="S31" s="187"/>
      <c r="T31" s="187"/>
      <c r="U31" s="187"/>
      <c r="V31" s="187"/>
      <c r="W31" s="188"/>
      <c r="X31" s="188"/>
    </row>
    <row r="32" spans="2:27" ht="17.100000000000001" customHeight="1" outlineLevel="1" x14ac:dyDescent="0.25">
      <c r="C32" s="29" t="s">
        <v>77</v>
      </c>
      <c r="D32" s="152" t="s">
        <v>72</v>
      </c>
      <c r="E32" s="17">
        <v>0.1</v>
      </c>
      <c r="F32" s="1"/>
      <c r="G32" s="29" t="s">
        <v>185</v>
      </c>
      <c r="H32" s="122"/>
      <c r="I32" s="122"/>
      <c r="J32" s="17">
        <v>0.15</v>
      </c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2:24" ht="17.100000000000001" customHeight="1" outlineLevel="1" x14ac:dyDescent="0.25">
      <c r="C33" s="29" t="s">
        <v>79</v>
      </c>
      <c r="D33" s="152" t="s">
        <v>72</v>
      </c>
      <c r="E33" s="17">
        <v>0.2</v>
      </c>
      <c r="F33" s="1"/>
      <c r="G33" s="29" t="s">
        <v>189</v>
      </c>
      <c r="H33" s="122"/>
      <c r="I33" s="61" t="s">
        <v>84</v>
      </c>
      <c r="J33" s="19">
        <f>+G156</f>
        <v>32969370.138500165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2:24" ht="17.100000000000001" customHeight="1" outlineLevel="1" x14ac:dyDescent="0.25">
      <c r="C34" s="29" t="s">
        <v>81</v>
      </c>
      <c r="D34" s="152" t="s">
        <v>72</v>
      </c>
      <c r="E34" s="17">
        <v>0.2</v>
      </c>
      <c r="F34" s="1"/>
      <c r="G34" s="29" t="s">
        <v>184</v>
      </c>
      <c r="H34" s="122"/>
      <c r="I34" s="61" t="s">
        <v>84</v>
      </c>
      <c r="J34" s="20">
        <f>+J33/(1+J32)</f>
        <v>28669017.511739276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2:24" ht="17.100000000000001" customHeight="1" outlineLevel="1" x14ac:dyDescent="0.25">
      <c r="C35" s="29" t="s">
        <v>80</v>
      </c>
      <c r="D35" s="152" t="s">
        <v>72</v>
      </c>
      <c r="E35" s="17">
        <v>0.3</v>
      </c>
      <c r="F35" s="1"/>
      <c r="G35" s="29" t="s">
        <v>43</v>
      </c>
      <c r="H35" s="122"/>
      <c r="I35" s="61" t="s">
        <v>84</v>
      </c>
      <c r="J35" s="20">
        <f>+J34*Perm_Loan_LTV</f>
        <v>15767959.631456602</v>
      </c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2:24" ht="17.100000000000001" customHeight="1" outlineLevel="1" x14ac:dyDescent="0.25">
      <c r="F36" s="1"/>
      <c r="G36" s="122"/>
      <c r="H36" s="122"/>
      <c r="I36" s="122"/>
      <c r="J36" s="1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2:24" ht="17.100000000000001" customHeight="1" outlineLevel="1" x14ac:dyDescent="0.25">
      <c r="F37" s="1"/>
      <c r="G37" s="29" t="s">
        <v>149</v>
      </c>
      <c r="H37" s="122"/>
      <c r="I37" s="152" t="s">
        <v>72</v>
      </c>
      <c r="J37" s="18">
        <v>1.4999999999999999E-2</v>
      </c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2:24" ht="17.100000000000001" customHeight="1" x14ac:dyDescent="0.25">
      <c r="F38" s="1"/>
      <c r="G38" s="1"/>
      <c r="H38" s="1"/>
      <c r="I38" s="1"/>
      <c r="J38" s="1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2:24" x14ac:dyDescent="0.25">
      <c r="B39" s="58" t="s">
        <v>157</v>
      </c>
      <c r="C39" s="59"/>
      <c r="D39" s="54"/>
      <c r="E39" s="57"/>
      <c r="F39" s="57"/>
      <c r="G39" s="57"/>
      <c r="H39" s="57"/>
      <c r="I39" s="54"/>
      <c r="J39" s="57"/>
      <c r="K39" s="57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  <row r="40" spans="2:24" outlineLevel="1" x14ac:dyDescent="0.25">
      <c r="B40" s="1"/>
      <c r="C40" s="1"/>
      <c r="D40" s="1"/>
      <c r="E40" s="1"/>
      <c r="F40" s="1"/>
      <c r="G40" s="1"/>
      <c r="H40" s="1"/>
      <c r="I40" s="1"/>
      <c r="J40" s="1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  <row r="41" spans="2:24" outlineLevel="1" x14ac:dyDescent="0.25">
      <c r="C41" s="26" t="s">
        <v>17</v>
      </c>
      <c r="D41" s="26"/>
      <c r="E41" s="26"/>
      <c r="F41" s="1"/>
      <c r="G41" s="26" t="s">
        <v>22</v>
      </c>
      <c r="H41" s="26"/>
      <c r="I41" s="26"/>
      <c r="J41" s="26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</row>
    <row r="42" spans="2:24" outlineLevel="1" x14ac:dyDescent="0.25">
      <c r="C42" s="162" t="s">
        <v>18</v>
      </c>
      <c r="D42" s="23"/>
      <c r="E42" s="19">
        <f>+Constr_Loan_LTC*J45</f>
        <v>15028860</v>
      </c>
      <c r="F42" s="1"/>
      <c r="G42" s="29" t="s">
        <v>19</v>
      </c>
      <c r="I42" s="62"/>
      <c r="J42" s="19">
        <f>+Land_Acq_Costs</f>
        <v>12600000</v>
      </c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</row>
    <row r="43" spans="2:24" outlineLevel="1" x14ac:dyDescent="0.25">
      <c r="C43" s="29" t="s">
        <v>165</v>
      </c>
      <c r="D43" s="24"/>
      <c r="E43" s="20">
        <f>(J45-E42)*Dev_Equity_Pct</f>
        <v>1502886</v>
      </c>
      <c r="F43" s="1"/>
      <c r="G43" s="160" t="s">
        <v>194</v>
      </c>
      <c r="H43" s="114"/>
      <c r="I43" s="62"/>
      <c r="J43" s="9">
        <f>+Constr_Costs</f>
        <v>16857720</v>
      </c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</row>
    <row r="44" spans="2:24" outlineLevel="1" x14ac:dyDescent="0.25">
      <c r="C44" s="161" t="s">
        <v>20</v>
      </c>
      <c r="D44" s="28"/>
      <c r="E44" s="33">
        <f>+J45-SUM(E42:E43)</f>
        <v>13525974</v>
      </c>
      <c r="F44" s="1"/>
      <c r="G44" s="161" t="s">
        <v>138</v>
      </c>
      <c r="H44" s="116"/>
      <c r="I44" s="116"/>
      <c r="J44" s="117">
        <v>600000</v>
      </c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</row>
    <row r="45" spans="2:24" outlineLevel="1" x14ac:dyDescent="0.25">
      <c r="C45" s="27" t="s">
        <v>21</v>
      </c>
      <c r="D45" s="27"/>
      <c r="E45" s="32">
        <f>SUM(E42:E44)</f>
        <v>30057720</v>
      </c>
      <c r="F45" s="1"/>
      <c r="G45" s="27" t="s">
        <v>197</v>
      </c>
      <c r="I45" s="115"/>
      <c r="J45" s="104">
        <f>SUM(J42:J44)</f>
        <v>30057720</v>
      </c>
    </row>
    <row r="46" spans="2:24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24" x14ac:dyDescent="0.25">
      <c r="B47" s="63"/>
      <c r="C47" s="63"/>
      <c r="D47" s="64"/>
      <c r="E47" s="63"/>
      <c r="F47" s="65" t="s">
        <v>86</v>
      </c>
      <c r="G47" s="66" t="s">
        <v>87</v>
      </c>
      <c r="H47" s="67"/>
      <c r="I47" s="67"/>
      <c r="J47" s="67"/>
      <c r="K47" s="67"/>
      <c r="L47" s="67"/>
      <c r="M47" s="67"/>
      <c r="N47" s="66" t="s">
        <v>146</v>
      </c>
    </row>
    <row r="48" spans="2:24" x14ac:dyDescent="0.25">
      <c r="B48" s="68" t="s">
        <v>85</v>
      </c>
      <c r="C48" s="68"/>
      <c r="D48" s="54" t="str">
        <f>+$D$5</f>
        <v>Units:</v>
      </c>
      <c r="E48" s="68"/>
      <c r="F48" s="69">
        <f>Constr_Start_Date</f>
        <v>43101</v>
      </c>
      <c r="G48" s="70">
        <f t="shared" ref="G48:K48" si="0">EOMONTH(F48,Months)</f>
        <v>43496</v>
      </c>
      <c r="H48" s="69">
        <f t="shared" si="0"/>
        <v>43861</v>
      </c>
      <c r="I48" s="69">
        <f t="shared" si="0"/>
        <v>44227</v>
      </c>
      <c r="J48" s="69">
        <f t="shared" si="0"/>
        <v>44592</v>
      </c>
      <c r="K48" s="69">
        <f t="shared" si="0"/>
        <v>44957</v>
      </c>
      <c r="L48" s="69">
        <f t="shared" ref="L48" si="1">EOMONTH(K48,Months)</f>
        <v>45322</v>
      </c>
      <c r="M48" s="69">
        <f t="shared" ref="M48" si="2">EOMONTH(L48,Months)</f>
        <v>45688</v>
      </c>
      <c r="N48" s="70">
        <f t="shared" ref="N48" si="3">EOMONTH(M48,Months)</f>
        <v>46053</v>
      </c>
    </row>
    <row r="49" spans="2:25" outlineLevel="1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25" outlineLevel="1" x14ac:dyDescent="0.25">
      <c r="B50" s="1"/>
      <c r="C50" s="73" t="s">
        <v>90</v>
      </c>
      <c r="D50" s="74"/>
      <c r="E50" s="75"/>
      <c r="F50" s="75"/>
      <c r="G50" s="75"/>
      <c r="H50" s="75"/>
      <c r="I50" s="75"/>
      <c r="J50" s="75"/>
      <c r="K50" s="75"/>
      <c r="L50" s="76"/>
      <c r="M50" s="76"/>
      <c r="N50" s="76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2:25" outlineLevel="1" x14ac:dyDescent="0.25">
      <c r="B51" s="1"/>
      <c r="C51" s="77" t="s">
        <v>186</v>
      </c>
      <c r="D51" s="60" t="s">
        <v>99</v>
      </c>
      <c r="E51" s="86">
        <v>2.35</v>
      </c>
      <c r="F51" s="105"/>
      <c r="G51" s="105"/>
      <c r="H51" s="105"/>
      <c r="I51" s="105"/>
      <c r="J51" s="105"/>
      <c r="K51" s="105"/>
      <c r="L51" s="106"/>
      <c r="M51" s="106"/>
      <c r="P51" s="186"/>
      <c r="Q51" s="187"/>
      <c r="R51" s="187"/>
      <c r="S51" s="187"/>
      <c r="T51" s="187"/>
      <c r="U51" s="187"/>
      <c r="V51" s="187"/>
      <c r="W51" s="187"/>
      <c r="X51" s="187"/>
      <c r="Y51" s="187"/>
    </row>
    <row r="52" spans="2:25" outlineLevel="1" x14ac:dyDescent="0.25">
      <c r="B52" s="1"/>
      <c r="C52" s="77" t="s">
        <v>187</v>
      </c>
      <c r="D52" s="60" t="s">
        <v>72</v>
      </c>
      <c r="E52" s="17">
        <v>0.03</v>
      </c>
      <c r="F52" s="105"/>
      <c r="G52" s="105"/>
      <c r="H52" s="105"/>
      <c r="I52" s="105"/>
      <c r="J52" s="105"/>
      <c r="K52" s="105"/>
      <c r="L52" s="106"/>
      <c r="M52" s="106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2:25" outlineLevel="1" x14ac:dyDescent="0.25">
      <c r="B53" s="1"/>
      <c r="C53" s="77" t="s">
        <v>130</v>
      </c>
      <c r="D53" s="60" t="s">
        <v>72</v>
      </c>
      <c r="E53" s="17">
        <v>3.0000000000000006E-2</v>
      </c>
      <c r="F53" s="105"/>
      <c r="G53" s="105"/>
      <c r="H53" s="105"/>
      <c r="I53" s="105"/>
      <c r="J53" s="105"/>
      <c r="K53" s="105"/>
      <c r="L53" s="106"/>
      <c r="M53" s="106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2:25" outlineLevel="1" x14ac:dyDescent="0.25">
      <c r="B54" s="1"/>
      <c r="C54" s="71"/>
      <c r="D54" s="60"/>
      <c r="E54" s="109"/>
      <c r="F54" s="105"/>
      <c r="G54" s="105"/>
      <c r="H54" s="105"/>
      <c r="I54" s="105"/>
      <c r="J54" s="105"/>
      <c r="K54" s="105"/>
      <c r="L54" s="106"/>
      <c r="M54" s="106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2:25" outlineLevel="1" x14ac:dyDescent="0.25">
      <c r="B55" s="1"/>
      <c r="C55" s="77" t="s">
        <v>195</v>
      </c>
      <c r="D55" s="60" t="s">
        <v>99</v>
      </c>
      <c r="E55" s="85">
        <v>0.3</v>
      </c>
      <c r="F55" s="105"/>
      <c r="G55" s="105"/>
      <c r="H55" s="105"/>
      <c r="I55" s="105"/>
      <c r="J55" s="105"/>
      <c r="K55" s="105"/>
      <c r="L55" s="106"/>
      <c r="M55" s="106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2:25" outlineLevel="1" x14ac:dyDescent="0.25">
      <c r="B56" s="1"/>
      <c r="C56" s="77" t="s">
        <v>137</v>
      </c>
      <c r="D56" s="60" t="s">
        <v>72</v>
      </c>
      <c r="E56" s="17">
        <v>0.03</v>
      </c>
      <c r="F56" s="105"/>
      <c r="G56" s="105"/>
      <c r="H56" s="105"/>
      <c r="I56" s="105"/>
      <c r="J56" s="105"/>
      <c r="K56" s="105"/>
      <c r="L56" s="106"/>
      <c r="M56" s="106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2:25" outlineLevel="1" x14ac:dyDescent="0.25">
      <c r="B57" s="1"/>
      <c r="C57" s="71"/>
      <c r="D57" s="60"/>
      <c r="E57" s="110"/>
      <c r="F57" s="105"/>
      <c r="G57" s="105"/>
      <c r="H57" s="105"/>
      <c r="I57" s="105"/>
      <c r="J57" s="105"/>
      <c r="K57" s="105"/>
      <c r="L57" s="106"/>
      <c r="M57" s="106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2:25" outlineLevel="1" x14ac:dyDescent="0.25">
      <c r="B58" s="1"/>
      <c r="C58" s="77" t="s">
        <v>91</v>
      </c>
      <c r="D58" s="60" t="s">
        <v>78</v>
      </c>
      <c r="E58" s="78">
        <v>5</v>
      </c>
      <c r="F58" s="71"/>
      <c r="G58" s="71"/>
      <c r="H58" s="71"/>
      <c r="I58" s="71"/>
      <c r="J58" s="71"/>
      <c r="K58" s="71"/>
      <c r="L58" s="79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2:25" outlineLevel="1" x14ac:dyDescent="0.25">
      <c r="B59" s="1"/>
      <c r="C59" s="77" t="s">
        <v>92</v>
      </c>
      <c r="D59" s="80" t="s">
        <v>72</v>
      </c>
      <c r="E59" s="17">
        <v>0.6</v>
      </c>
      <c r="F59" s="71"/>
      <c r="G59" s="71"/>
      <c r="H59" s="71"/>
      <c r="I59" s="71"/>
      <c r="J59" s="71"/>
      <c r="K59" s="71"/>
      <c r="L59" s="79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2:25" outlineLevel="1" x14ac:dyDescent="0.25">
      <c r="B60" s="1"/>
      <c r="C60" s="77" t="s">
        <v>93</v>
      </c>
      <c r="D60" s="60" t="s">
        <v>89</v>
      </c>
      <c r="E60" s="81">
        <v>6</v>
      </c>
      <c r="F60" s="71"/>
      <c r="G60" s="71"/>
      <c r="H60" s="71"/>
      <c r="I60" s="71"/>
      <c r="J60" s="71"/>
      <c r="K60" s="71"/>
      <c r="L60" s="79"/>
      <c r="P60" s="189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2:25" outlineLevel="1" x14ac:dyDescent="0.25">
      <c r="B61" s="1"/>
      <c r="C61" s="1"/>
      <c r="D61" s="1"/>
      <c r="E61" s="1"/>
      <c r="F61" s="1"/>
      <c r="G61" s="1"/>
      <c r="H61" s="1"/>
      <c r="I61" s="1"/>
      <c r="J61" s="1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2:25" outlineLevel="1" x14ac:dyDescent="0.25">
      <c r="B62" s="1"/>
      <c r="C62" s="82" t="s">
        <v>94</v>
      </c>
      <c r="D62" s="83"/>
      <c r="E62" s="83" t="s">
        <v>95</v>
      </c>
      <c r="F62" s="84" t="s">
        <v>96</v>
      </c>
      <c r="G62" s="1"/>
      <c r="H62" s="1"/>
      <c r="I62" s="1"/>
      <c r="J62" s="1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2:25" outlineLevel="1" x14ac:dyDescent="0.25">
      <c r="B63" s="1"/>
      <c r="C63" s="77" t="s">
        <v>97</v>
      </c>
      <c r="D63" s="60" t="s">
        <v>89</v>
      </c>
      <c r="E63" s="50">
        <v>4</v>
      </c>
      <c r="F63" s="50">
        <v>2</v>
      </c>
      <c r="G63" s="1"/>
      <c r="H63" s="1"/>
      <c r="I63" s="1"/>
      <c r="J63" s="1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2:25" outlineLevel="1" x14ac:dyDescent="0.25">
      <c r="B64" s="1"/>
      <c r="C64" s="77" t="s">
        <v>98</v>
      </c>
      <c r="D64" s="60" t="s">
        <v>99</v>
      </c>
      <c r="E64" s="85">
        <v>1.5</v>
      </c>
      <c r="F64" s="86">
        <v>1</v>
      </c>
      <c r="G64" s="1"/>
      <c r="H64" s="1"/>
      <c r="I64" s="1"/>
      <c r="J64" s="1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2:25" outlineLevel="1" x14ac:dyDescent="0.25">
      <c r="B65" s="1"/>
      <c r="C65" s="77" t="s">
        <v>100</v>
      </c>
      <c r="D65" s="80" t="s">
        <v>72</v>
      </c>
      <c r="E65" s="17">
        <v>0.03</v>
      </c>
      <c r="F65" s="17">
        <v>0.01</v>
      </c>
      <c r="G65" s="1"/>
      <c r="H65" s="1"/>
      <c r="I65" s="1"/>
      <c r="J65" s="1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2:25" outlineLevel="1" x14ac:dyDescent="0.25">
      <c r="B66" s="1"/>
      <c r="C66" s="1"/>
      <c r="D66" s="1"/>
      <c r="E66" s="1"/>
      <c r="F66" s="1"/>
      <c r="G66" s="1"/>
      <c r="H66" s="1"/>
      <c r="I66" s="1"/>
      <c r="J66" s="1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2:25" outlineLevel="1" x14ac:dyDescent="0.25">
      <c r="B67" s="1"/>
      <c r="C67" s="73" t="s">
        <v>116</v>
      </c>
      <c r="D67" s="74"/>
      <c r="E67" s="75"/>
      <c r="F67" s="75"/>
      <c r="G67" s="75"/>
      <c r="H67" s="75"/>
      <c r="I67" s="75"/>
      <c r="J67" s="75"/>
      <c r="K67" s="75"/>
      <c r="L67" s="76"/>
      <c r="M67" s="76"/>
      <c r="N67" s="76"/>
      <c r="P67" s="188"/>
      <c r="Q67" s="188"/>
      <c r="R67" s="188"/>
      <c r="S67" s="188"/>
      <c r="T67" s="188"/>
      <c r="U67" s="188"/>
      <c r="V67" s="188"/>
      <c r="W67" s="188"/>
      <c r="X67" s="188"/>
      <c r="Y67" s="188"/>
    </row>
    <row r="68" spans="2:25" outlineLevel="1" x14ac:dyDescent="0.25">
      <c r="B68" s="1"/>
      <c r="C68" s="158" t="s">
        <v>182</v>
      </c>
      <c r="D68" s="80" t="s">
        <v>72</v>
      </c>
      <c r="E68" s="17">
        <v>0.65</v>
      </c>
      <c r="F68" s="1"/>
      <c r="G68" s="1"/>
      <c r="H68" s="1"/>
      <c r="I68" s="1"/>
      <c r="J68" s="1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2:25" outlineLevel="1" x14ac:dyDescent="0.25">
      <c r="B69" s="1"/>
      <c r="C69" s="77" t="s">
        <v>101</v>
      </c>
      <c r="D69" s="87" t="s">
        <v>102</v>
      </c>
      <c r="E69" s="159">
        <f>+E68*Rentable_SF</f>
        <v>208192.842</v>
      </c>
      <c r="F69" s="1"/>
      <c r="G69" s="1"/>
      <c r="H69" s="1"/>
      <c r="I69" s="1"/>
      <c r="J69" s="1"/>
    </row>
    <row r="70" spans="2:25" outlineLevel="1" x14ac:dyDescent="0.25">
      <c r="B70" s="1"/>
      <c r="C70" s="77" t="s">
        <v>129</v>
      </c>
      <c r="D70" s="60" t="s">
        <v>67</v>
      </c>
      <c r="E70" s="21">
        <v>43465</v>
      </c>
      <c r="F70" s="1"/>
      <c r="G70" s="1"/>
      <c r="H70" s="1"/>
      <c r="I70" s="1"/>
      <c r="J70" s="1"/>
    </row>
    <row r="71" spans="2:25" outlineLevel="1" x14ac:dyDescent="0.25">
      <c r="B71" s="1"/>
      <c r="C71" s="77" t="s">
        <v>103</v>
      </c>
      <c r="D71" s="60" t="s">
        <v>67</v>
      </c>
      <c r="E71" s="21">
        <v>44926</v>
      </c>
      <c r="F71" s="1"/>
      <c r="G71" s="1"/>
      <c r="H71" s="1"/>
      <c r="I71" s="1"/>
      <c r="J71" s="1"/>
    </row>
    <row r="72" spans="2:25" outlineLevel="1" x14ac:dyDescent="0.25">
      <c r="B72" s="1"/>
      <c r="C72" s="71"/>
      <c r="D72" s="88"/>
      <c r="E72" s="1"/>
      <c r="F72" s="1"/>
      <c r="G72" s="1"/>
      <c r="H72" s="1"/>
      <c r="I72" s="1"/>
      <c r="J72" s="1"/>
    </row>
    <row r="73" spans="2:25" outlineLevel="1" x14ac:dyDescent="0.25">
      <c r="B73" s="1"/>
      <c r="C73" s="77" t="s">
        <v>104</v>
      </c>
      <c r="D73" s="60" t="s">
        <v>99</v>
      </c>
      <c r="E73" s="1"/>
      <c r="F73" s="91"/>
      <c r="G73" s="85">
        <v>7.5</v>
      </c>
      <c r="H73" s="90">
        <f>+G73*(1+H74)</f>
        <v>7.7250000000000005</v>
      </c>
      <c r="I73" s="90">
        <f t="shared" ref="I73:N73" si="4">+H73*(1+I74)</f>
        <v>7.9567500000000004</v>
      </c>
      <c r="J73" s="90">
        <f t="shared" si="4"/>
        <v>8.1954525</v>
      </c>
      <c r="K73" s="90">
        <f t="shared" si="4"/>
        <v>8.4413160749999996</v>
      </c>
      <c r="L73" s="90">
        <f t="shared" si="4"/>
        <v>8.6945555572500002</v>
      </c>
      <c r="M73" s="90">
        <f t="shared" si="4"/>
        <v>8.9553922239675003</v>
      </c>
      <c r="N73" s="90">
        <f t="shared" si="4"/>
        <v>9.2240539906865262</v>
      </c>
      <c r="O73" s="90">
        <f t="shared" ref="O73" si="5">+N73*(1+O74)</f>
        <v>9.500775610407123</v>
      </c>
    </row>
    <row r="74" spans="2:25" outlineLevel="1" x14ac:dyDescent="0.25">
      <c r="B74" s="1"/>
      <c r="C74" s="77" t="s">
        <v>105</v>
      </c>
      <c r="D74" s="80" t="s">
        <v>72</v>
      </c>
      <c r="E74" s="1"/>
      <c r="F74" s="71"/>
      <c r="G74" s="92"/>
      <c r="H74" s="17">
        <v>0.03</v>
      </c>
      <c r="I74" s="17">
        <v>0.03</v>
      </c>
      <c r="J74" s="17">
        <v>0.03</v>
      </c>
      <c r="K74" s="17">
        <v>0.03</v>
      </c>
      <c r="L74" s="17">
        <v>0.03</v>
      </c>
      <c r="M74" s="17">
        <v>0.03</v>
      </c>
      <c r="N74" s="17">
        <v>0.03</v>
      </c>
      <c r="O74" s="17">
        <v>0.03</v>
      </c>
    </row>
    <row r="75" spans="2:25" outlineLevel="1" x14ac:dyDescent="0.25">
      <c r="B75" s="1"/>
      <c r="C75" s="71"/>
      <c r="D75" s="88"/>
      <c r="E75" s="1"/>
      <c r="F75" s="1"/>
      <c r="G75" s="1"/>
      <c r="H75" s="1"/>
      <c r="I75" s="1"/>
      <c r="J75" s="1"/>
    </row>
    <row r="76" spans="2:25" outlineLevel="1" x14ac:dyDescent="0.25">
      <c r="B76" s="1"/>
      <c r="C76" s="77" t="s">
        <v>106</v>
      </c>
      <c r="D76" s="80" t="s">
        <v>84</v>
      </c>
      <c r="E76" s="1"/>
      <c r="F76" s="1"/>
      <c r="G76" s="19">
        <f>+G73*$E69</f>
        <v>1561446.3149999999</v>
      </c>
      <c r="H76" s="19">
        <f t="shared" ref="H76:N76" si="6">+H73*$E69</f>
        <v>1608289.7044500001</v>
      </c>
      <c r="I76" s="19">
        <f t="shared" si="6"/>
        <v>1656538.3955835002</v>
      </c>
      <c r="J76" s="19">
        <f t="shared" si="6"/>
        <v>1706234.5474510051</v>
      </c>
      <c r="K76" s="19">
        <f t="shared" si="6"/>
        <v>1757421.583874535</v>
      </c>
      <c r="L76" s="19">
        <f t="shared" si="6"/>
        <v>1810144.2313907712</v>
      </c>
      <c r="M76" s="19">
        <f t="shared" si="6"/>
        <v>1864448.5583324945</v>
      </c>
      <c r="N76" s="19">
        <f t="shared" si="6"/>
        <v>1920382.0150824694</v>
      </c>
      <c r="O76" s="19">
        <f t="shared" ref="O76" si="7">+O73*$E69</f>
        <v>1977993.4755349439</v>
      </c>
    </row>
    <row r="77" spans="2:25" outlineLevel="1" x14ac:dyDescent="0.25">
      <c r="B77" s="1"/>
      <c r="C77" s="77" t="s">
        <v>107</v>
      </c>
      <c r="D77" s="80" t="s">
        <v>84</v>
      </c>
      <c r="E77" s="1"/>
      <c r="F77" s="1"/>
      <c r="G77" s="93">
        <v>0</v>
      </c>
      <c r="H77" s="93">
        <v>0</v>
      </c>
      <c r="I77" s="93">
        <v>0</v>
      </c>
      <c r="J77" s="93">
        <v>0</v>
      </c>
      <c r="K77" s="94">
        <f>-K76*(1-Renewal_Probability)*(Down_Months/Months)</f>
        <v>-351484.31677490706</v>
      </c>
      <c r="L77" s="93">
        <v>0</v>
      </c>
      <c r="M77" s="93">
        <v>0</v>
      </c>
      <c r="N77" s="93">
        <v>0</v>
      </c>
    </row>
    <row r="78" spans="2:25" outlineLevel="1" x14ac:dyDescent="0.25">
      <c r="B78" s="1"/>
      <c r="C78" s="77" t="s">
        <v>108</v>
      </c>
      <c r="D78" s="80" t="s">
        <v>84</v>
      </c>
      <c r="E78" s="1"/>
      <c r="F78" s="1"/>
      <c r="G78" s="107">
        <f>-G76*(New_Free_Rent_Months/Months)</f>
        <v>-520482.10499999998</v>
      </c>
      <c r="H78" s="93">
        <v>0</v>
      </c>
      <c r="I78" s="93">
        <v>0</v>
      </c>
      <c r="J78" s="93">
        <v>0</v>
      </c>
      <c r="K78" s="94">
        <f>-K76*(Renewal_Probability*(Renewal_Free_Rent_Months/Months)+(1-Renewal_Probability)*(New_Free_Rent_Months/Months))</f>
        <v>-410065.03623739153</v>
      </c>
      <c r="L78" s="93">
        <v>0</v>
      </c>
      <c r="M78" s="93">
        <v>0</v>
      </c>
      <c r="N78" s="93">
        <v>0</v>
      </c>
    </row>
    <row r="79" spans="2:25" outlineLevel="1" x14ac:dyDescent="0.25">
      <c r="B79" s="1"/>
      <c r="C79" s="77" t="s">
        <v>109</v>
      </c>
      <c r="D79" s="80" t="s">
        <v>84</v>
      </c>
      <c r="E79" s="1"/>
      <c r="F79" s="1"/>
      <c r="G79" s="107">
        <f>-New_TIs*$E69</f>
        <v>-312289.26300000004</v>
      </c>
      <c r="H79" s="93">
        <v>0</v>
      </c>
      <c r="I79" s="93">
        <v>0</v>
      </c>
      <c r="J79" s="93">
        <v>0</v>
      </c>
      <c r="K79" s="94">
        <f>-$E69*(Renewal_Probability*Renewal_TIs+(1-Renewal_Probability)*New_TIs)</f>
        <v>-249831.41040000005</v>
      </c>
      <c r="L79" s="93">
        <v>0</v>
      </c>
      <c r="M79" s="93">
        <v>0</v>
      </c>
      <c r="N79" s="93">
        <v>0</v>
      </c>
    </row>
    <row r="80" spans="2:25" outlineLevel="1" x14ac:dyDescent="0.25">
      <c r="B80" s="1"/>
      <c r="C80" s="77" t="s">
        <v>110</v>
      </c>
      <c r="D80" s="80" t="s">
        <v>84</v>
      </c>
      <c r="E80" s="1"/>
      <c r="F80" s="1"/>
      <c r="G80" s="107">
        <f>-SUM(G76:J76)*New_LC_Pct</f>
        <v>-195975.26887453516</v>
      </c>
      <c r="H80" s="93">
        <v>0</v>
      </c>
      <c r="I80" s="93">
        <v>0</v>
      </c>
      <c r="J80" s="93">
        <v>0</v>
      </c>
      <c r="K80" s="94">
        <f>-SUM(K76:O76)*(Renewal_Probability*Renewal_LC_Pct+(1-Renewal_Probability)*New_LC_Pct)</f>
        <v>-167947.01755587387</v>
      </c>
      <c r="L80" s="93">
        <v>0</v>
      </c>
      <c r="M80" s="93">
        <v>0</v>
      </c>
      <c r="N80" s="93">
        <v>0</v>
      </c>
    </row>
    <row r="81" spans="2:16" outlineLevel="1" x14ac:dyDescent="0.25">
      <c r="B81" s="1"/>
      <c r="C81" s="71"/>
      <c r="D81" s="88"/>
      <c r="E81" s="1"/>
      <c r="F81" s="1"/>
      <c r="G81" s="192"/>
      <c r="H81" s="1"/>
      <c r="I81" s="1"/>
      <c r="J81" s="1"/>
      <c r="K81" s="192"/>
    </row>
    <row r="82" spans="2:16" outlineLevel="1" x14ac:dyDescent="0.25">
      <c r="B82" s="1"/>
      <c r="C82" s="77" t="s">
        <v>111</v>
      </c>
      <c r="D82" s="80" t="s">
        <v>84</v>
      </c>
      <c r="E82" s="1"/>
      <c r="F82" s="1"/>
      <c r="G82" s="107">
        <f>-G$119*($E69/Rentable_SF)</f>
        <v>489253.17869999999</v>
      </c>
      <c r="H82" s="107">
        <f>-H$119*($E69/Rentable_SF)</f>
        <v>503930.77406099997</v>
      </c>
      <c r="I82" s="107">
        <f>-I$119*($E69/Rentable_SF)</f>
        <v>519048.69728283002</v>
      </c>
      <c r="J82" s="107">
        <f>-J$119*($E69/Rentable_SF)</f>
        <v>534620.15820131486</v>
      </c>
      <c r="K82" s="107">
        <f>-K$119*($E69/Rentable_SF)*(1-(1-Renewal_Probability)*(Down_Months/Months))</f>
        <v>440527.01035788353</v>
      </c>
      <c r="L82" s="107">
        <f>-L$119*($E69/Rentable_SF)</f>
        <v>567178.52583577496</v>
      </c>
      <c r="M82" s="107">
        <f>-M$119*($E69/Rentable_SF)</f>
        <v>584193.88161084836</v>
      </c>
      <c r="N82" s="107">
        <f>-N$119*($E69/Rentable_SF)</f>
        <v>601719.69805917377</v>
      </c>
    </row>
    <row r="83" spans="2:16" outlineLevel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6" outlineLevel="1" x14ac:dyDescent="0.25">
      <c r="B84" s="1"/>
      <c r="C84" s="73" t="s">
        <v>117</v>
      </c>
      <c r="D84" s="74"/>
      <c r="E84" s="75"/>
      <c r="F84" s="75"/>
      <c r="G84" s="75"/>
      <c r="H84" s="75"/>
      <c r="I84" s="75"/>
      <c r="J84" s="75"/>
      <c r="K84" s="75"/>
      <c r="L84" s="76"/>
      <c r="M84" s="76"/>
      <c r="N84" s="76"/>
    </row>
    <row r="85" spans="2:16" outlineLevel="1" x14ac:dyDescent="0.25">
      <c r="B85" s="1"/>
      <c r="C85" s="158" t="s">
        <v>182</v>
      </c>
      <c r="D85" s="80" t="s">
        <v>72</v>
      </c>
      <c r="E85" s="17">
        <v>0.3</v>
      </c>
      <c r="F85" s="105"/>
      <c r="G85" s="105"/>
      <c r="H85" s="105"/>
      <c r="I85" s="105"/>
      <c r="J85" s="105"/>
      <c r="K85" s="105"/>
      <c r="L85" s="106"/>
      <c r="M85" s="106"/>
      <c r="N85" s="106"/>
    </row>
    <row r="86" spans="2:16" outlineLevel="1" x14ac:dyDescent="0.25">
      <c r="B86" s="1"/>
      <c r="C86" s="77" t="s">
        <v>101</v>
      </c>
      <c r="D86" s="87" t="s">
        <v>102</v>
      </c>
      <c r="E86" s="159">
        <f>+E85*Rentable_SF</f>
        <v>96089.004000000001</v>
      </c>
      <c r="F86" s="1"/>
      <c r="G86" s="1"/>
      <c r="H86" s="1"/>
      <c r="I86" s="1"/>
      <c r="J86" s="1"/>
    </row>
    <row r="87" spans="2:16" outlineLevel="1" x14ac:dyDescent="0.25">
      <c r="B87" s="1"/>
      <c r="C87" s="77" t="s">
        <v>129</v>
      </c>
      <c r="D87" s="60" t="s">
        <v>67</v>
      </c>
      <c r="E87" s="21">
        <v>43830</v>
      </c>
      <c r="F87" s="1"/>
      <c r="G87" s="1"/>
      <c r="H87" s="1"/>
      <c r="I87" s="1"/>
      <c r="J87" s="1"/>
    </row>
    <row r="88" spans="2:16" outlineLevel="1" x14ac:dyDescent="0.25">
      <c r="B88" s="1"/>
      <c r="C88" s="77" t="s">
        <v>103</v>
      </c>
      <c r="D88" s="60" t="s">
        <v>67</v>
      </c>
      <c r="E88" s="21">
        <v>45291</v>
      </c>
      <c r="F88" s="1"/>
      <c r="G88" s="1"/>
      <c r="H88" s="1"/>
      <c r="I88" s="1"/>
      <c r="J88" s="1"/>
    </row>
    <row r="89" spans="2:16" outlineLevel="1" x14ac:dyDescent="0.25">
      <c r="B89" s="1"/>
      <c r="C89" s="71"/>
      <c r="D89" s="88"/>
      <c r="E89" s="1"/>
      <c r="F89" s="1"/>
      <c r="G89" s="1"/>
      <c r="H89" s="1"/>
      <c r="I89" s="1"/>
      <c r="J89" s="1"/>
    </row>
    <row r="90" spans="2:16" outlineLevel="1" x14ac:dyDescent="0.25">
      <c r="B90" s="1"/>
      <c r="C90" s="77" t="s">
        <v>104</v>
      </c>
      <c r="D90" s="60" t="s">
        <v>99</v>
      </c>
      <c r="E90" s="1"/>
      <c r="F90" s="91"/>
      <c r="G90" s="85">
        <v>8</v>
      </c>
      <c r="H90" s="90">
        <f>+G90*(1+H91)</f>
        <v>8.24</v>
      </c>
      <c r="I90" s="90">
        <f t="shared" ref="I90" si="8">+H90*(1+I91)</f>
        <v>8.4871999999999996</v>
      </c>
      <c r="J90" s="90">
        <f t="shared" ref="J90" si="9">+I90*(1+J91)</f>
        <v>8.741816</v>
      </c>
      <c r="K90" s="90">
        <f t="shared" ref="K90" si="10">+J90*(1+K91)</f>
        <v>9.0040704800000011</v>
      </c>
      <c r="L90" s="90">
        <f t="shared" ref="L90" si="11">+K90*(1+L91)</f>
        <v>9.2741925944000005</v>
      </c>
      <c r="M90" s="90">
        <f t="shared" ref="M90" si="12">+L90*(1+M91)</f>
        <v>9.5524183722320011</v>
      </c>
      <c r="N90" s="90">
        <f t="shared" ref="N90" si="13">+M90*(1+N91)</f>
        <v>9.8389909233989616</v>
      </c>
      <c r="O90" s="90">
        <f t="shared" ref="O90" si="14">+N90*(1+O91)</f>
        <v>10.134160651100931</v>
      </c>
      <c r="P90" s="90">
        <f t="shared" ref="P90" si="15">+O90*(1+P91)</f>
        <v>10.438185470633959</v>
      </c>
    </row>
    <row r="91" spans="2:16" outlineLevel="1" x14ac:dyDescent="0.25">
      <c r="B91" s="1"/>
      <c r="C91" s="77" t="s">
        <v>105</v>
      </c>
      <c r="D91" s="80" t="s">
        <v>72</v>
      </c>
      <c r="E91" s="1"/>
      <c r="F91" s="71"/>
      <c r="G91" s="92"/>
      <c r="H91" s="17">
        <v>0.03</v>
      </c>
      <c r="I91" s="17">
        <v>0.03</v>
      </c>
      <c r="J91" s="17">
        <v>0.03</v>
      </c>
      <c r="K91" s="17">
        <v>0.03</v>
      </c>
      <c r="L91" s="17">
        <v>0.03</v>
      </c>
      <c r="M91" s="17">
        <v>0.03</v>
      </c>
      <c r="N91" s="17">
        <v>0.03</v>
      </c>
      <c r="O91" s="17">
        <v>0.03</v>
      </c>
      <c r="P91" s="17">
        <v>0.03</v>
      </c>
    </row>
    <row r="92" spans="2:16" outlineLevel="1" x14ac:dyDescent="0.25">
      <c r="B92" s="1"/>
      <c r="C92" s="71"/>
      <c r="D92" s="88"/>
      <c r="E92" s="1"/>
      <c r="F92" s="1"/>
      <c r="G92" s="1"/>
      <c r="H92" s="1"/>
      <c r="I92" s="1"/>
      <c r="J92" s="1"/>
    </row>
    <row r="93" spans="2:16" outlineLevel="1" x14ac:dyDescent="0.25">
      <c r="B93" s="1"/>
      <c r="C93" s="77" t="s">
        <v>106</v>
      </c>
      <c r="D93" s="80" t="s">
        <v>84</v>
      </c>
      <c r="E93" s="1"/>
      <c r="F93" s="1"/>
      <c r="G93" s="19">
        <f>+G90*$E86</f>
        <v>768712.03200000001</v>
      </c>
      <c r="H93" s="19">
        <f t="shared" ref="H93:N93" si="16">+H90*$E86</f>
        <v>791773.39296000008</v>
      </c>
      <c r="I93" s="19">
        <f t="shared" si="16"/>
        <v>815526.59474879992</v>
      </c>
      <c r="J93" s="19">
        <f t="shared" si="16"/>
        <v>839992.39259126398</v>
      </c>
      <c r="K93" s="19">
        <f t="shared" si="16"/>
        <v>865192.16436900198</v>
      </c>
      <c r="L93" s="19">
        <f t="shared" si="16"/>
        <v>891147.92930007202</v>
      </c>
      <c r="M93" s="19">
        <f t="shared" si="16"/>
        <v>917882.36717907421</v>
      </c>
      <c r="N93" s="19">
        <f t="shared" si="16"/>
        <v>945418.83819444652</v>
      </c>
      <c r="O93" s="19">
        <f t="shared" ref="O93:P93" si="17">+O90*$E86</f>
        <v>973781.40334027994</v>
      </c>
      <c r="P93" s="19">
        <f t="shared" si="17"/>
        <v>1002994.8454404884</v>
      </c>
    </row>
    <row r="94" spans="2:16" outlineLevel="1" x14ac:dyDescent="0.25">
      <c r="B94" s="1"/>
      <c r="C94" s="77" t="s">
        <v>107</v>
      </c>
      <c r="D94" s="80" t="s">
        <v>84</v>
      </c>
      <c r="E94" s="1"/>
      <c r="F94" s="1"/>
      <c r="G94" s="107">
        <f>-G93</f>
        <v>-768712.03200000001</v>
      </c>
      <c r="H94" s="93">
        <v>0</v>
      </c>
      <c r="I94" s="93">
        <v>0</v>
      </c>
      <c r="J94" s="93">
        <v>0</v>
      </c>
      <c r="K94" s="93">
        <v>0</v>
      </c>
      <c r="L94" s="94">
        <f>-L93*(1-Renewal_Probability)*(Down_Months/Months)</f>
        <v>-178229.58586001443</v>
      </c>
      <c r="M94" s="93">
        <v>0</v>
      </c>
      <c r="N94" s="93">
        <v>0</v>
      </c>
    </row>
    <row r="95" spans="2:16" outlineLevel="1" x14ac:dyDescent="0.25">
      <c r="B95" s="1"/>
      <c r="C95" s="77" t="s">
        <v>108</v>
      </c>
      <c r="D95" s="80" t="s">
        <v>84</v>
      </c>
      <c r="E95" s="1"/>
      <c r="F95" s="1"/>
      <c r="G95" s="93">
        <v>0</v>
      </c>
      <c r="H95" s="107">
        <f>-H93*(New_Free_Rent_Months/Months)</f>
        <v>-263924.46432000003</v>
      </c>
      <c r="I95" s="93">
        <v>0</v>
      </c>
      <c r="J95" s="93">
        <v>0</v>
      </c>
      <c r="K95" s="93">
        <v>0</v>
      </c>
      <c r="L95" s="94">
        <f>-L93*(Renewal_Probability*(Renewal_Free_Rent_Months/Months)+(1-Renewal_Probability)*(New_Free_Rent_Months/Months))</f>
        <v>-207934.51683668347</v>
      </c>
      <c r="M95" s="93">
        <v>0</v>
      </c>
      <c r="N95" s="93">
        <v>0</v>
      </c>
    </row>
    <row r="96" spans="2:16" outlineLevel="1" x14ac:dyDescent="0.25">
      <c r="B96" s="1"/>
      <c r="C96" s="77" t="s">
        <v>109</v>
      </c>
      <c r="D96" s="80" t="s">
        <v>84</v>
      </c>
      <c r="E96" s="1"/>
      <c r="F96" s="1"/>
      <c r="G96" s="93">
        <v>0</v>
      </c>
      <c r="H96" s="107">
        <f>-New_TIs*$E86</f>
        <v>-144133.50599999999</v>
      </c>
      <c r="I96" s="93">
        <v>0</v>
      </c>
      <c r="J96" s="93">
        <v>0</v>
      </c>
      <c r="K96" s="93">
        <v>0</v>
      </c>
      <c r="L96" s="94">
        <f>-$E86*(Renewal_Probability*Renewal_TIs+(1-Renewal_Probability)*New_TIs)</f>
        <v>-115306.80480000001</v>
      </c>
      <c r="M96" s="93">
        <v>0</v>
      </c>
      <c r="N96" s="93">
        <v>0</v>
      </c>
    </row>
    <row r="97" spans="2:27" outlineLevel="1" x14ac:dyDescent="0.25">
      <c r="B97" s="1"/>
      <c r="C97" s="77" t="s">
        <v>110</v>
      </c>
      <c r="D97" s="80" t="s">
        <v>84</v>
      </c>
      <c r="E97" s="1"/>
      <c r="F97" s="1"/>
      <c r="G97" s="93">
        <v>0</v>
      </c>
      <c r="H97" s="107">
        <f>-SUM(H93:K93)*New_LC_Pct</f>
        <v>-99374.53634007198</v>
      </c>
      <c r="I97" s="93">
        <v>0</v>
      </c>
      <c r="J97" s="93">
        <v>0</v>
      </c>
      <c r="K97" s="93">
        <v>0</v>
      </c>
      <c r="L97" s="94">
        <f>-SUM(L93:P93)*(Renewal_Probability*Renewal_LC_Pct+(1-Renewal_Probability)*New_LC_Pct)</f>
        <v>-85162.056902178505</v>
      </c>
      <c r="M97" s="93">
        <v>0</v>
      </c>
      <c r="N97" s="93">
        <v>0</v>
      </c>
    </row>
    <row r="98" spans="2:27" outlineLevel="1" x14ac:dyDescent="0.25">
      <c r="B98" s="1"/>
      <c r="C98" s="71"/>
      <c r="D98" s="88"/>
      <c r="E98" s="1"/>
      <c r="F98" s="1"/>
      <c r="G98" s="1"/>
      <c r="H98" s="1"/>
      <c r="I98" s="1"/>
      <c r="J98" s="1"/>
    </row>
    <row r="99" spans="2:27" outlineLevel="1" x14ac:dyDescent="0.25">
      <c r="B99" s="1"/>
      <c r="C99" s="77" t="s">
        <v>111</v>
      </c>
      <c r="D99" s="80" t="s">
        <v>84</v>
      </c>
      <c r="E99" s="1"/>
      <c r="F99" s="1"/>
      <c r="G99" s="93">
        <v>0</v>
      </c>
      <c r="H99" s="107">
        <f>-H$119*($E86/Rentable_SF)</f>
        <v>232583.43418199997</v>
      </c>
      <c r="I99" s="107">
        <f>-I$119*($E86/Rentable_SF)</f>
        <v>239560.93720746</v>
      </c>
      <c r="J99" s="107">
        <f>-J$119*($E86/Rentable_SF)</f>
        <v>246747.76532368379</v>
      </c>
      <c r="K99" s="107">
        <f>-K$119*($E86/Rentable_SF)</f>
        <v>254150.1982833943</v>
      </c>
      <c r="L99" s="107">
        <f>-L$119*($E86/Rentable_SF)*(1-(1-Renewal_Probability)*(Down_Months/Months))</f>
        <v>209419.76338551694</v>
      </c>
      <c r="M99" s="107">
        <f>-M$119*($E86/Rentable_SF)</f>
        <v>269627.94535885303</v>
      </c>
      <c r="N99" s="107">
        <f>-N$119*($E86/Rentable_SF)</f>
        <v>277716.78371961863</v>
      </c>
    </row>
    <row r="100" spans="2:27" outlineLevel="1" x14ac:dyDescent="0.25">
      <c r="B100" s="1"/>
      <c r="C100" s="1"/>
      <c r="D100" s="1"/>
      <c r="E100" s="1"/>
      <c r="F100" s="1"/>
      <c r="G100" s="1"/>
      <c r="H100" s="192"/>
      <c r="I100" s="1"/>
      <c r="J100" s="1"/>
      <c r="L100" s="192"/>
    </row>
    <row r="101" spans="2:27" outlineLevel="1" x14ac:dyDescent="0.25">
      <c r="B101" s="1"/>
      <c r="C101" s="95" t="s">
        <v>112</v>
      </c>
      <c r="D101" s="60" t="s">
        <v>84</v>
      </c>
      <c r="E101" s="1"/>
      <c r="F101" s="94"/>
      <c r="G101" s="94">
        <f>+G79+G80+G96+G97</f>
        <v>-508264.5318745352</v>
      </c>
      <c r="H101" s="94">
        <f t="shared" ref="H101:N101" si="18">+H79+H80+H96+H97</f>
        <v>-243508.04234007199</v>
      </c>
      <c r="I101" s="94">
        <f t="shared" si="18"/>
        <v>0</v>
      </c>
      <c r="J101" s="94">
        <f t="shared" si="18"/>
        <v>0</v>
      </c>
      <c r="K101" s="94">
        <f t="shared" si="18"/>
        <v>-417778.42795587389</v>
      </c>
      <c r="L101" s="94">
        <f t="shared" si="18"/>
        <v>-200468.86170217852</v>
      </c>
      <c r="M101" s="94">
        <f t="shared" si="18"/>
        <v>0</v>
      </c>
      <c r="N101" s="94">
        <f t="shared" si="18"/>
        <v>0</v>
      </c>
    </row>
    <row r="102" spans="2:27" outlineLevel="1" x14ac:dyDescent="0.25">
      <c r="B102" s="1"/>
      <c r="C102" s="95" t="s">
        <v>113</v>
      </c>
      <c r="D102" s="60" t="s">
        <v>84</v>
      </c>
      <c r="E102" s="1"/>
      <c r="F102" s="107">
        <f>+J44</f>
        <v>600000</v>
      </c>
      <c r="G102" s="94">
        <f>+F102-G121-G128</f>
        <v>187824.47212546476</v>
      </c>
      <c r="H102" s="94">
        <f t="shared" ref="H102:N102" si="19">+G102-H121-H128</f>
        <v>43288.103905392811</v>
      </c>
      <c r="I102" s="94">
        <f t="shared" si="19"/>
        <v>145228.92824899283</v>
      </c>
      <c r="J102" s="94">
        <f t="shared" si="19"/>
        <v>250227.97732290084</v>
      </c>
      <c r="K102" s="94">
        <f t="shared" si="19"/>
        <v>0</v>
      </c>
      <c r="L102" s="94">
        <f t="shared" si="19"/>
        <v>0</v>
      </c>
      <c r="M102" s="94">
        <f t="shared" si="19"/>
        <v>114735.29589738431</v>
      </c>
      <c r="N102" s="94">
        <f t="shared" si="19"/>
        <v>232912.65067169015</v>
      </c>
    </row>
    <row r="103" spans="2:27" outlineLevel="1" x14ac:dyDescent="0.25">
      <c r="B103" s="1"/>
      <c r="C103" s="71"/>
      <c r="D103" s="88"/>
      <c r="E103" s="1"/>
      <c r="F103" s="1"/>
      <c r="G103" s="1"/>
      <c r="H103" s="1"/>
      <c r="I103" s="1"/>
      <c r="J103" s="1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</row>
    <row r="104" spans="2:27" outlineLevel="1" x14ac:dyDescent="0.25">
      <c r="B104" s="1"/>
      <c r="C104" s="96" t="s">
        <v>114</v>
      </c>
      <c r="D104" s="113" t="s">
        <v>115</v>
      </c>
      <c r="E104" s="1"/>
      <c r="F104" s="112">
        <f>YEAR(F107)</f>
        <v>2018</v>
      </c>
      <c r="G104" s="112">
        <f t="shared" ref="G104:M104" si="20">YEAR(G107)</f>
        <v>2019</v>
      </c>
      <c r="H104" s="112">
        <f t="shared" si="20"/>
        <v>2020</v>
      </c>
      <c r="I104" s="112">
        <f t="shared" si="20"/>
        <v>2021</v>
      </c>
      <c r="J104" s="112">
        <f t="shared" si="20"/>
        <v>2022</v>
      </c>
      <c r="K104" s="112">
        <f t="shared" si="20"/>
        <v>2023</v>
      </c>
      <c r="L104" s="112">
        <f t="shared" si="20"/>
        <v>2024</v>
      </c>
      <c r="M104" s="112">
        <f t="shared" si="20"/>
        <v>2025</v>
      </c>
      <c r="N104" s="112">
        <f>YEAR(N107)</f>
        <v>2026</v>
      </c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</row>
    <row r="105" spans="2:27" x14ac:dyDescent="0.25">
      <c r="B105" s="1"/>
      <c r="C105" s="1"/>
      <c r="D105" s="1"/>
      <c r="E105" s="1"/>
      <c r="F105" s="1"/>
      <c r="G105" s="1"/>
      <c r="H105" s="1"/>
      <c r="I105" s="1"/>
      <c r="J105" s="1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</row>
    <row r="106" spans="2:27" x14ac:dyDescent="0.25">
      <c r="B106" s="63"/>
      <c r="C106" s="63"/>
      <c r="D106" s="64"/>
      <c r="E106" s="63"/>
      <c r="F106" s="65" t="str">
        <f>$F$47</f>
        <v>Construction:</v>
      </c>
      <c r="G106" s="66" t="str">
        <f>$G$47</f>
        <v>Operational Years:</v>
      </c>
      <c r="H106" s="67"/>
      <c r="I106" s="67"/>
      <c r="J106" s="67"/>
      <c r="K106" s="67"/>
      <c r="L106" s="67"/>
      <c r="M106" s="67"/>
      <c r="N106" s="66" t="str">
        <f>$N$47</f>
        <v>Stabilized:</v>
      </c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</row>
    <row r="107" spans="2:27" x14ac:dyDescent="0.25">
      <c r="B107" s="68" t="s">
        <v>119</v>
      </c>
      <c r="C107" s="68"/>
      <c r="D107" s="54" t="str">
        <f>+$D$5</f>
        <v>Units:</v>
      </c>
      <c r="E107" s="68"/>
      <c r="F107" s="69">
        <f>$F$48</f>
        <v>43101</v>
      </c>
      <c r="G107" s="70">
        <f>$G$48</f>
        <v>43496</v>
      </c>
      <c r="H107" s="69">
        <f>$H$48</f>
        <v>43861</v>
      </c>
      <c r="I107" s="69">
        <f>$I$48</f>
        <v>44227</v>
      </c>
      <c r="J107" s="69">
        <f>$J$48</f>
        <v>44592</v>
      </c>
      <c r="K107" s="69">
        <f>$K$48</f>
        <v>44957</v>
      </c>
      <c r="L107" s="69">
        <f>$L$48</f>
        <v>45322</v>
      </c>
      <c r="M107" s="69">
        <f>$M$48</f>
        <v>45688</v>
      </c>
      <c r="N107" s="70">
        <f>$N$48</f>
        <v>46053</v>
      </c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</row>
    <row r="108" spans="2:27" outlineLevel="1" x14ac:dyDescent="0.25">
      <c r="B108" s="1"/>
      <c r="C108" s="1"/>
      <c r="D108" s="1"/>
      <c r="E108" s="1"/>
      <c r="F108" s="1"/>
      <c r="G108" s="1"/>
      <c r="H108" s="1"/>
      <c r="I108" s="1"/>
      <c r="J108" s="1"/>
      <c r="P108" s="186"/>
      <c r="Q108" s="187"/>
      <c r="R108" s="187"/>
      <c r="S108" s="187"/>
      <c r="T108" s="187"/>
      <c r="U108" s="187"/>
      <c r="V108" s="187"/>
      <c r="W108" s="187"/>
      <c r="X108" s="187"/>
      <c r="Y108" s="187"/>
      <c r="Z108" s="188"/>
      <c r="AA108" s="188"/>
    </row>
    <row r="109" spans="2:27" s="7" customFormat="1" outlineLevel="1" x14ac:dyDescent="0.25">
      <c r="C109" s="169" t="s">
        <v>118</v>
      </c>
      <c r="E109" s="9"/>
      <c r="F109" s="9"/>
      <c r="G109" s="9"/>
      <c r="H109" s="9"/>
      <c r="I109" s="9"/>
      <c r="J109" s="9"/>
      <c r="K109" s="9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</row>
    <row r="110" spans="2:27" s="7" customFormat="1" outlineLevel="1" x14ac:dyDescent="0.25">
      <c r="C110" s="170" t="s">
        <v>106</v>
      </c>
      <c r="D110" s="60" t="s">
        <v>84</v>
      </c>
      <c r="G110" s="30">
        <f t="shared" ref="G110:N110" si="21">+G76+G93+(Rentable_SF-$E$69-$E$86)*G$73</f>
        <v>2450269.602</v>
      </c>
      <c r="H110" s="30">
        <f t="shared" si="21"/>
        <v>2523777.6900599999</v>
      </c>
      <c r="I110" s="30">
        <f t="shared" si="21"/>
        <v>2599491.0207617995</v>
      </c>
      <c r="J110" s="30">
        <f t="shared" si="21"/>
        <v>2677475.7513846541</v>
      </c>
      <c r="K110" s="30">
        <f t="shared" si="21"/>
        <v>2757800.0239261934</v>
      </c>
      <c r="L110" s="30">
        <f t="shared" si="21"/>
        <v>2840534.024643979</v>
      </c>
      <c r="M110" s="30">
        <f t="shared" si="21"/>
        <v>2925750.0453832988</v>
      </c>
      <c r="N110" s="30">
        <f t="shared" si="21"/>
        <v>3013522.5467447978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2:27" s="7" customFormat="1" outlineLevel="1" x14ac:dyDescent="0.25">
      <c r="C111" s="170" t="s">
        <v>107</v>
      </c>
      <c r="D111" s="60" t="s">
        <v>84</v>
      </c>
      <c r="G111" s="9">
        <f>+G77+G94</f>
        <v>-768712.03200000001</v>
      </c>
      <c r="H111" s="9">
        <f t="shared" ref="H111:N111" si="22">+H77+H94</f>
        <v>0</v>
      </c>
      <c r="I111" s="9">
        <f t="shared" si="22"/>
        <v>0</v>
      </c>
      <c r="J111" s="9">
        <f t="shared" si="22"/>
        <v>0</v>
      </c>
      <c r="K111" s="9">
        <f t="shared" si="22"/>
        <v>-351484.31677490706</v>
      </c>
      <c r="L111" s="9">
        <f t="shared" si="22"/>
        <v>-178229.58586001443</v>
      </c>
      <c r="M111" s="9">
        <f t="shared" si="22"/>
        <v>0</v>
      </c>
      <c r="N111" s="9">
        <f t="shared" si="22"/>
        <v>0</v>
      </c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</row>
    <row r="112" spans="2:27" s="7" customFormat="1" outlineLevel="1" x14ac:dyDescent="0.25">
      <c r="C112" s="170" t="s">
        <v>108</v>
      </c>
      <c r="D112" s="60" t="s">
        <v>84</v>
      </c>
      <c r="G112" s="9">
        <f t="shared" ref="G112:N112" si="23">+G78+G95</f>
        <v>-520482.10499999998</v>
      </c>
      <c r="H112" s="9">
        <f t="shared" si="23"/>
        <v>-263924.46432000003</v>
      </c>
      <c r="I112" s="9">
        <f t="shared" si="23"/>
        <v>0</v>
      </c>
      <c r="J112" s="9">
        <f t="shared" si="23"/>
        <v>0</v>
      </c>
      <c r="K112" s="9">
        <f t="shared" si="23"/>
        <v>-410065.03623739153</v>
      </c>
      <c r="L112" s="9">
        <f t="shared" si="23"/>
        <v>-207934.51683668347</v>
      </c>
      <c r="M112" s="9">
        <f t="shared" si="23"/>
        <v>0</v>
      </c>
      <c r="N112" s="9">
        <f t="shared" si="23"/>
        <v>0</v>
      </c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</row>
    <row r="113" spans="3:27" s="7" customFormat="1" outlineLevel="1" x14ac:dyDescent="0.25">
      <c r="C113" s="170" t="s">
        <v>111</v>
      </c>
      <c r="D113" s="60" t="s">
        <v>84</v>
      </c>
      <c r="E113" s="10"/>
      <c r="F113" s="10"/>
      <c r="G113" s="9">
        <f>+G82+G99</f>
        <v>489253.17869999999</v>
      </c>
      <c r="H113" s="9">
        <f t="shared" ref="H113:N113" si="24">+H82+H99</f>
        <v>736514.20824299997</v>
      </c>
      <c r="I113" s="9">
        <f t="shared" si="24"/>
        <v>758609.63449028996</v>
      </c>
      <c r="J113" s="9">
        <f t="shared" si="24"/>
        <v>781367.92352499859</v>
      </c>
      <c r="K113" s="9">
        <f t="shared" si="24"/>
        <v>694677.20864127786</v>
      </c>
      <c r="L113" s="9">
        <f t="shared" si="24"/>
        <v>776598.2892212919</v>
      </c>
      <c r="M113" s="9">
        <f t="shared" si="24"/>
        <v>853821.82696970133</v>
      </c>
      <c r="N113" s="9">
        <f t="shared" si="24"/>
        <v>879436.48177879234</v>
      </c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</row>
    <row r="114" spans="3:27" s="7" customFormat="1" outlineLevel="1" x14ac:dyDescent="0.25">
      <c r="C114" s="171" t="s">
        <v>35</v>
      </c>
      <c r="D114" s="98" t="s">
        <v>84</v>
      </c>
      <c r="G114" s="40">
        <f>SUM(G110:G113)</f>
        <v>1650328.6436999999</v>
      </c>
      <c r="H114" s="40">
        <f t="shared" ref="H114:N114" si="25">SUM(H110:H113)</f>
        <v>2996367.4339829995</v>
      </c>
      <c r="I114" s="40">
        <f t="shared" si="25"/>
        <v>3358100.6552520897</v>
      </c>
      <c r="J114" s="40">
        <f t="shared" si="25"/>
        <v>3458843.6749096527</v>
      </c>
      <c r="K114" s="40">
        <f t="shared" si="25"/>
        <v>2690927.8795551723</v>
      </c>
      <c r="L114" s="40">
        <f t="shared" si="25"/>
        <v>3230968.2111685732</v>
      </c>
      <c r="M114" s="40">
        <f t="shared" si="25"/>
        <v>3779571.8723530001</v>
      </c>
      <c r="N114" s="40">
        <f t="shared" si="25"/>
        <v>3892959.0285235904</v>
      </c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</row>
    <row r="115" spans="3:27" s="7" customFormat="1" outlineLevel="1" x14ac:dyDescent="0.25">
      <c r="C115" s="172" t="s">
        <v>36</v>
      </c>
      <c r="D115" s="99" t="s">
        <v>84</v>
      </c>
      <c r="E115" s="10"/>
      <c r="F115" s="10"/>
      <c r="G115" s="33">
        <f t="shared" ref="G115:N115" si="26">-(Rentable_SF-$E$69-$E$86)*G$73</f>
        <v>-120111.25499999992</v>
      </c>
      <c r="H115" s="9">
        <f t="shared" si="26"/>
        <v>-123714.59264999992</v>
      </c>
      <c r="I115" s="9">
        <f t="shared" si="26"/>
        <v>-127426.03042949991</v>
      </c>
      <c r="J115" s="9">
        <f t="shared" si="26"/>
        <v>-131248.8113423849</v>
      </c>
      <c r="K115" s="9">
        <f t="shared" si="26"/>
        <v>-135186.27568265644</v>
      </c>
      <c r="L115" s="9">
        <f t="shared" si="26"/>
        <v>-139241.86395313614</v>
      </c>
      <c r="M115" s="9">
        <f t="shared" si="26"/>
        <v>-143419.11987173022</v>
      </c>
      <c r="N115" s="9">
        <f t="shared" si="26"/>
        <v>-147721.69346788214</v>
      </c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</row>
    <row r="116" spans="3:27" s="7" customFormat="1" outlineLevel="1" x14ac:dyDescent="0.25">
      <c r="C116" s="171" t="s">
        <v>200</v>
      </c>
      <c r="D116" s="60" t="s">
        <v>84</v>
      </c>
      <c r="G116" s="41">
        <f>SUM(G114:G115)</f>
        <v>1530217.3887</v>
      </c>
      <c r="H116" s="40">
        <f t="shared" ref="H116:N116" si="27">SUM(H114:H115)</f>
        <v>2872652.8413329995</v>
      </c>
      <c r="I116" s="40">
        <f t="shared" si="27"/>
        <v>3230674.62482259</v>
      </c>
      <c r="J116" s="40">
        <f t="shared" si="27"/>
        <v>3327594.8635672675</v>
      </c>
      <c r="K116" s="40">
        <f t="shared" si="27"/>
        <v>2555741.6038725157</v>
      </c>
      <c r="L116" s="40">
        <f t="shared" si="27"/>
        <v>3091726.3472154373</v>
      </c>
      <c r="M116" s="40">
        <f t="shared" si="27"/>
        <v>3636152.7524812697</v>
      </c>
      <c r="N116" s="40">
        <f t="shared" si="27"/>
        <v>3745237.3350557084</v>
      </c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</row>
    <row r="117" spans="3:27" s="7" customFormat="1" outlineLevel="1" x14ac:dyDescent="0.25">
      <c r="C117" s="172"/>
      <c r="G117" s="9"/>
      <c r="H117" s="9"/>
      <c r="I117" s="9"/>
      <c r="J117" s="9"/>
      <c r="K117" s="9"/>
      <c r="L117" s="9"/>
      <c r="M117" s="9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</row>
    <row r="118" spans="3:27" s="7" customFormat="1" outlineLevel="1" x14ac:dyDescent="0.25">
      <c r="C118" s="173" t="s">
        <v>37</v>
      </c>
      <c r="G118" s="72"/>
      <c r="H118" s="72"/>
      <c r="I118" s="72"/>
      <c r="J118" s="72"/>
      <c r="K118" s="72"/>
      <c r="L118" s="72"/>
      <c r="M118" s="72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</row>
    <row r="119" spans="3:27" s="7" customFormat="1" outlineLevel="1" x14ac:dyDescent="0.25">
      <c r="C119" s="172" t="s">
        <v>131</v>
      </c>
      <c r="D119" s="60" t="s">
        <v>84</v>
      </c>
      <c r="G119" s="9">
        <f>-OpEx_per_SF*Rentable_SF</f>
        <v>-752697.19799999997</v>
      </c>
      <c r="H119" s="9">
        <f t="shared" ref="H119:N119" si="28">+G119*(1+Op_Ex_Growth)</f>
        <v>-775278.11393999995</v>
      </c>
      <c r="I119" s="9">
        <f t="shared" si="28"/>
        <v>-798536.45735819999</v>
      </c>
      <c r="J119" s="9">
        <f t="shared" si="28"/>
        <v>-822492.55107894598</v>
      </c>
      <c r="K119" s="9">
        <f t="shared" si="28"/>
        <v>-847167.32761131437</v>
      </c>
      <c r="L119" s="9">
        <f t="shared" si="28"/>
        <v>-872582.34743965382</v>
      </c>
      <c r="M119" s="9">
        <f t="shared" si="28"/>
        <v>-898759.81786284351</v>
      </c>
      <c r="N119" s="9">
        <f t="shared" si="28"/>
        <v>-925722.61239872884</v>
      </c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</row>
    <row r="120" spans="3:27" s="7" customFormat="1" outlineLevel="1" x14ac:dyDescent="0.25">
      <c r="C120" s="172" t="s">
        <v>132</v>
      </c>
      <c r="D120" s="60" t="s">
        <v>84</v>
      </c>
      <c r="E120" s="2"/>
      <c r="F120" s="2"/>
      <c r="G120" s="9">
        <f t="shared" ref="G120:N120" si="29">-G116*Prop_Mgmt_Fee_Pct</f>
        <v>-45906.521661000006</v>
      </c>
      <c r="H120" s="9">
        <f t="shared" si="29"/>
        <v>-86179.585239990003</v>
      </c>
      <c r="I120" s="9">
        <f t="shared" si="29"/>
        <v>-96920.238744677714</v>
      </c>
      <c r="J120" s="9">
        <f t="shared" si="29"/>
        <v>-99827.84590701804</v>
      </c>
      <c r="K120" s="9">
        <f t="shared" si="29"/>
        <v>-76672.248116175484</v>
      </c>
      <c r="L120" s="9">
        <f t="shared" si="29"/>
        <v>-92751.790416463133</v>
      </c>
      <c r="M120" s="9">
        <f t="shared" si="29"/>
        <v>-109084.58257443811</v>
      </c>
      <c r="N120" s="9">
        <f t="shared" si="29"/>
        <v>-112357.12005167127</v>
      </c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</row>
    <row r="121" spans="3:27" s="7" customFormat="1" outlineLevel="1" x14ac:dyDescent="0.25">
      <c r="C121" s="174" t="s">
        <v>133</v>
      </c>
      <c r="D121" s="99" t="s">
        <v>84</v>
      </c>
      <c r="E121" s="10"/>
      <c r="F121" s="10"/>
      <c r="G121" s="33">
        <f>-Reserve_per_SF*Rentable_SF</f>
        <v>-96089.004000000001</v>
      </c>
      <c r="H121" s="33">
        <f t="shared" ref="H121:N121" si="30">+G121*(1+Reserve_Growth_Rate)</f>
        <v>-98971.674120000011</v>
      </c>
      <c r="I121" s="33">
        <f t="shared" si="30"/>
        <v>-101940.82434360002</v>
      </c>
      <c r="J121" s="33">
        <f t="shared" si="30"/>
        <v>-104999.04907390803</v>
      </c>
      <c r="K121" s="33">
        <f t="shared" si="30"/>
        <v>-108149.02054612528</v>
      </c>
      <c r="L121" s="33">
        <f t="shared" si="30"/>
        <v>-111393.49116250903</v>
      </c>
      <c r="M121" s="33">
        <f t="shared" si="30"/>
        <v>-114735.29589738431</v>
      </c>
      <c r="N121" s="33">
        <f t="shared" si="30"/>
        <v>-118177.35477430584</v>
      </c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</row>
    <row r="122" spans="3:27" s="7" customFormat="1" outlineLevel="1" x14ac:dyDescent="0.25">
      <c r="C122" s="175" t="s">
        <v>38</v>
      </c>
      <c r="D122" s="60" t="s">
        <v>84</v>
      </c>
      <c r="G122" s="41">
        <f>SUM(G119:G121)</f>
        <v>-894692.72366099991</v>
      </c>
      <c r="H122" s="41">
        <f>SUM(H119:H121)</f>
        <v>-960429.37329998997</v>
      </c>
      <c r="I122" s="41">
        <f t="shared" ref="I122:N122" si="31">SUM(I119:I121)</f>
        <v>-997397.52044647769</v>
      </c>
      <c r="J122" s="41">
        <f t="shared" si="31"/>
        <v>-1027319.446059872</v>
      </c>
      <c r="K122" s="41">
        <f t="shared" si="31"/>
        <v>-1031988.5962736151</v>
      </c>
      <c r="L122" s="41">
        <f t="shared" si="31"/>
        <v>-1076727.6290186259</v>
      </c>
      <c r="M122" s="41">
        <f t="shared" si="31"/>
        <v>-1122579.6963346659</v>
      </c>
      <c r="N122" s="41">
        <f t="shared" si="31"/>
        <v>-1156257.0872247061</v>
      </c>
      <c r="P122" s="186"/>
      <c r="Q122" s="187"/>
      <c r="R122" s="187"/>
      <c r="S122" s="187"/>
      <c r="T122" s="187"/>
      <c r="U122" s="187"/>
      <c r="V122" s="187"/>
      <c r="W122" s="187"/>
      <c r="X122" s="187"/>
      <c r="Y122" s="187"/>
      <c r="Z122" s="188"/>
      <c r="AA122" s="188"/>
    </row>
    <row r="123" spans="3:27" s="7" customFormat="1" outlineLevel="1" x14ac:dyDescent="0.25">
      <c r="C123" s="172"/>
      <c r="G123" s="9"/>
      <c r="H123" s="9"/>
      <c r="I123" s="9"/>
      <c r="J123" s="9"/>
      <c r="K123" s="9"/>
      <c r="L123" s="9"/>
      <c r="M123" s="9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</row>
    <row r="124" spans="3:27" s="7" customFormat="1" outlineLevel="1" x14ac:dyDescent="0.25">
      <c r="C124" s="173" t="s">
        <v>39</v>
      </c>
      <c r="D124" s="60" t="s">
        <v>84</v>
      </c>
      <c r="G124" s="41">
        <f>+G116+G122</f>
        <v>635524.6650390001</v>
      </c>
      <c r="H124" s="41">
        <f>+H116+H122</f>
        <v>1912223.4680330097</v>
      </c>
      <c r="I124" s="41">
        <f t="shared" ref="I124:N124" si="32">+I116+I122</f>
        <v>2233277.1043761121</v>
      </c>
      <c r="J124" s="41">
        <f t="shared" si="32"/>
        <v>2300275.4175073956</v>
      </c>
      <c r="K124" s="41">
        <f t="shared" si="32"/>
        <v>1523753.0075989007</v>
      </c>
      <c r="L124" s="41">
        <f t="shared" si="32"/>
        <v>2014998.7181968114</v>
      </c>
      <c r="M124" s="41">
        <f t="shared" si="32"/>
        <v>2513573.056146604</v>
      </c>
      <c r="N124" s="41">
        <f t="shared" si="32"/>
        <v>2588980.2478310023</v>
      </c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</row>
    <row r="125" spans="3:27" s="7" customFormat="1" outlineLevel="1" x14ac:dyDescent="0.25">
      <c r="C125" s="176" t="s">
        <v>120</v>
      </c>
      <c r="D125" s="60" t="s">
        <v>72</v>
      </c>
      <c r="F125" s="119"/>
      <c r="G125" s="108">
        <f>+G124/G$116</f>
        <v>0.41531658817373107</v>
      </c>
      <c r="H125" s="108">
        <f>+H124/H$116</f>
        <v>0.66566465690496701</v>
      </c>
      <c r="I125" s="108">
        <f t="shared" ref="I125:N125" si="33">+I124/I$116</f>
        <v>0.69127267946358129</v>
      </c>
      <c r="J125" s="108">
        <f t="shared" si="33"/>
        <v>0.6912726794635814</v>
      </c>
      <c r="K125" s="108">
        <f t="shared" si="33"/>
        <v>0.59620777205726772</v>
      </c>
      <c r="L125" s="108">
        <f t="shared" si="33"/>
        <v>0.65173902600132105</v>
      </c>
      <c r="M125" s="108">
        <f t="shared" si="33"/>
        <v>0.6912726794635814</v>
      </c>
      <c r="N125" s="108">
        <f t="shared" si="33"/>
        <v>0.6912726794635814</v>
      </c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3:27" s="7" customFormat="1" outlineLevel="1" x14ac:dyDescent="0.25">
      <c r="C126" s="172"/>
      <c r="G126" s="9"/>
      <c r="H126" s="9"/>
      <c r="I126" s="9"/>
      <c r="J126" s="9"/>
      <c r="K126" s="9"/>
      <c r="L126" s="9"/>
      <c r="M126" s="9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</row>
    <row r="127" spans="3:27" s="7" customFormat="1" outlineLevel="1" x14ac:dyDescent="0.25">
      <c r="C127" s="170" t="s">
        <v>121</v>
      </c>
      <c r="D127" s="60" t="s">
        <v>84</v>
      </c>
      <c r="G127" s="9">
        <f>+G101</f>
        <v>-508264.5318745352</v>
      </c>
      <c r="H127" s="9">
        <f t="shared" ref="H127:N127" si="34">+H101</f>
        <v>-243508.04234007199</v>
      </c>
      <c r="I127" s="9">
        <f t="shared" si="34"/>
        <v>0</v>
      </c>
      <c r="J127" s="9">
        <f t="shared" si="34"/>
        <v>0</v>
      </c>
      <c r="K127" s="9">
        <f t="shared" si="34"/>
        <v>-417778.42795587389</v>
      </c>
      <c r="L127" s="9">
        <f t="shared" si="34"/>
        <v>-200468.86170217852</v>
      </c>
      <c r="M127" s="9">
        <f t="shared" si="34"/>
        <v>0</v>
      </c>
      <c r="N127" s="9">
        <f t="shared" si="34"/>
        <v>0</v>
      </c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</row>
    <row r="128" spans="3:27" s="7" customFormat="1" outlineLevel="1" x14ac:dyDescent="0.25">
      <c r="C128" s="170" t="s">
        <v>122</v>
      </c>
      <c r="D128" s="60" t="s">
        <v>84</v>
      </c>
      <c r="G128" s="9">
        <f>MIN(-G127,F102-G121)</f>
        <v>508264.5318745352</v>
      </c>
      <c r="H128" s="9">
        <f t="shared" ref="H128:N128" si="35">MIN(-H127,G102-H121)</f>
        <v>243508.04234007199</v>
      </c>
      <c r="I128" s="9">
        <f t="shared" si="35"/>
        <v>0</v>
      </c>
      <c r="J128" s="9">
        <f t="shared" si="35"/>
        <v>0</v>
      </c>
      <c r="K128" s="9">
        <f t="shared" si="35"/>
        <v>358376.99786902615</v>
      </c>
      <c r="L128" s="9">
        <f t="shared" si="35"/>
        <v>111393.49116250903</v>
      </c>
      <c r="M128" s="9">
        <f t="shared" si="35"/>
        <v>0</v>
      </c>
      <c r="N128" s="9">
        <f t="shared" si="35"/>
        <v>0</v>
      </c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</row>
    <row r="129" spans="2:27" s="7" customFormat="1" outlineLevel="1" x14ac:dyDescent="0.25">
      <c r="C129" s="177"/>
      <c r="D129" s="79"/>
      <c r="G129" s="9"/>
      <c r="H129" s="9"/>
      <c r="I129" s="9"/>
      <c r="J129" s="9"/>
      <c r="K129" s="9"/>
      <c r="L129" s="9"/>
      <c r="M129" s="9"/>
      <c r="N129" s="9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</row>
    <row r="130" spans="2:27" s="7" customFormat="1" outlineLevel="1" x14ac:dyDescent="0.25">
      <c r="C130" s="169" t="s">
        <v>123</v>
      </c>
      <c r="D130" s="60" t="s">
        <v>84</v>
      </c>
      <c r="G130" s="41">
        <f>+G124+SUM(G127:G128)</f>
        <v>635524.6650390001</v>
      </c>
      <c r="H130" s="41">
        <f t="shared" ref="H130:N130" si="36">+H124+SUM(H127:H128)</f>
        <v>1912223.4680330097</v>
      </c>
      <c r="I130" s="41">
        <f t="shared" si="36"/>
        <v>2233277.1043761121</v>
      </c>
      <c r="J130" s="41">
        <f t="shared" si="36"/>
        <v>2300275.4175073956</v>
      </c>
      <c r="K130" s="41">
        <f t="shared" si="36"/>
        <v>1464351.5775120528</v>
      </c>
      <c r="L130" s="41">
        <f t="shared" si="36"/>
        <v>1925923.347657142</v>
      </c>
      <c r="M130" s="41">
        <f t="shared" si="36"/>
        <v>2513573.056146604</v>
      </c>
      <c r="N130" s="41">
        <f t="shared" si="36"/>
        <v>2588980.2478310023</v>
      </c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</row>
    <row r="131" spans="2:27" s="7" customFormat="1" outlineLevel="1" x14ac:dyDescent="0.25">
      <c r="C131" s="178" t="s">
        <v>124</v>
      </c>
      <c r="D131" s="60" t="s">
        <v>72</v>
      </c>
      <c r="G131" s="108">
        <f>+G130/G$116</f>
        <v>0.41531658817373107</v>
      </c>
      <c r="H131" s="108">
        <f t="shared" ref="H131:N131" si="37">+H130/H$116</f>
        <v>0.66566465690496701</v>
      </c>
      <c r="I131" s="108">
        <f t="shared" si="37"/>
        <v>0.69127267946358129</v>
      </c>
      <c r="J131" s="108">
        <f t="shared" si="37"/>
        <v>0.6912726794635814</v>
      </c>
      <c r="K131" s="108">
        <f t="shared" si="37"/>
        <v>0.57296542627518965</v>
      </c>
      <c r="L131" s="108">
        <f t="shared" si="37"/>
        <v>0.62292814155163645</v>
      </c>
      <c r="M131" s="108">
        <f t="shared" si="37"/>
        <v>0.6912726794635814</v>
      </c>
      <c r="N131" s="108">
        <f t="shared" si="37"/>
        <v>0.6912726794635814</v>
      </c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</row>
    <row r="132" spans="2:27" s="7" customFormat="1" outlineLevel="1" x14ac:dyDescent="0.25">
      <c r="C132" s="172"/>
      <c r="G132" s="9"/>
      <c r="H132" s="9"/>
      <c r="I132" s="9"/>
      <c r="J132" s="9"/>
      <c r="K132" s="9"/>
      <c r="L132" s="9"/>
      <c r="M132" s="9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</row>
    <row r="133" spans="2:27" s="7" customFormat="1" outlineLevel="1" x14ac:dyDescent="0.25">
      <c r="C133" s="170" t="s">
        <v>134</v>
      </c>
      <c r="D133" s="60" t="s">
        <v>84</v>
      </c>
      <c r="G133" s="94">
        <f t="shared" ref="G133:M133" si="38">IPMT(Perm_Loan_Ann_Interest,G104-$F104,Perm_Loan_Amort_Period,Perm_Loan_Balance)</f>
        <v>-748978.08249418857</v>
      </c>
      <c r="H133" s="94">
        <f t="shared" si="38"/>
        <v>-737212.04580066411</v>
      </c>
      <c r="I133" s="94">
        <f t="shared" si="38"/>
        <v>-724887.12236419716</v>
      </c>
      <c r="J133" s="94">
        <f t="shared" si="38"/>
        <v>-711976.76506449794</v>
      </c>
      <c r="K133" s="94">
        <f t="shared" si="38"/>
        <v>-698453.16579306312</v>
      </c>
      <c r="L133" s="94">
        <f t="shared" si="38"/>
        <v>-684287.19555623527</v>
      </c>
      <c r="M133" s="94">
        <f t="shared" si="38"/>
        <v>-669448.34173315787</v>
      </c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</row>
    <row r="134" spans="2:27" s="7" customFormat="1" outlineLevel="1" x14ac:dyDescent="0.25">
      <c r="C134" s="170" t="s">
        <v>135</v>
      </c>
      <c r="D134" s="60" t="s">
        <v>84</v>
      </c>
      <c r="G134" s="94">
        <f t="shared" ref="G134:M134" si="39">PPMT(Perm_Loan_Ann_Interest,G104-$F104,Perm_Loan_Amort_Period,Perm_Loan_Balance)</f>
        <v>-247706.03565314773</v>
      </c>
      <c r="H134" s="94">
        <f t="shared" si="39"/>
        <v>-259472.07234667227</v>
      </c>
      <c r="I134" s="94">
        <f t="shared" si="39"/>
        <v>-271796.99578313919</v>
      </c>
      <c r="J134" s="94">
        <f t="shared" si="39"/>
        <v>-284707.35308283835</v>
      </c>
      <c r="K134" s="94">
        <f t="shared" si="39"/>
        <v>-298230.95235427318</v>
      </c>
      <c r="L134" s="94">
        <f t="shared" si="39"/>
        <v>-312396.92259110115</v>
      </c>
      <c r="M134" s="94">
        <f t="shared" si="39"/>
        <v>-327235.77641417843</v>
      </c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</row>
    <row r="135" spans="2:27" s="7" customFormat="1" outlineLevel="1" x14ac:dyDescent="0.25">
      <c r="C135" s="172"/>
      <c r="G135" s="120"/>
      <c r="H135" s="120"/>
      <c r="I135" s="120"/>
      <c r="J135" s="120"/>
      <c r="K135" s="120"/>
      <c r="L135" s="120"/>
      <c r="M135" s="120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</row>
    <row r="136" spans="2:27" s="7" customFormat="1" outlineLevel="1" x14ac:dyDescent="0.25">
      <c r="C136" s="179" t="s">
        <v>136</v>
      </c>
      <c r="D136" s="60" t="s">
        <v>84</v>
      </c>
      <c r="G136" s="41">
        <f>+G130+SUM(G133:G134)</f>
        <v>-361159.45310833619</v>
      </c>
      <c r="H136" s="41">
        <f t="shared" ref="H136:M136" si="40">+H130+SUM(H133:H134)</f>
        <v>915539.34988567326</v>
      </c>
      <c r="I136" s="41">
        <f t="shared" si="40"/>
        <v>1236592.9862287757</v>
      </c>
      <c r="J136" s="41">
        <f t="shared" si="40"/>
        <v>1303591.2993600592</v>
      </c>
      <c r="K136" s="41">
        <f t="shared" si="40"/>
        <v>467667.45936471655</v>
      </c>
      <c r="L136" s="41">
        <f t="shared" si="40"/>
        <v>929239.22950980556</v>
      </c>
      <c r="M136" s="41">
        <f t="shared" si="40"/>
        <v>1516888.9379992676</v>
      </c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</row>
    <row r="137" spans="2:27" s="7" customFormat="1" outlineLevel="1" x14ac:dyDescent="0.25">
      <c r="B137" s="37"/>
      <c r="C137" s="122"/>
      <c r="E137" s="9"/>
      <c r="F137" s="9"/>
      <c r="G137" s="9"/>
      <c r="H137" s="9"/>
      <c r="I137" s="9"/>
      <c r="J137" s="9"/>
      <c r="K137" s="9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</row>
    <row r="138" spans="2:27" s="7" customFormat="1" outlineLevel="1" x14ac:dyDescent="0.25">
      <c r="B138" s="37"/>
      <c r="C138" s="180" t="s">
        <v>44</v>
      </c>
      <c r="D138" s="60" t="s">
        <v>84</v>
      </c>
      <c r="E138" s="71"/>
      <c r="F138" s="111">
        <f>Perm_Loan_Balance</f>
        <v>15767959.631456602</v>
      </c>
      <c r="G138" s="111">
        <f>+F138+G134</f>
        <v>15520253.595803455</v>
      </c>
      <c r="H138" s="111">
        <f t="shared" ref="H138:M138" si="41">+G138+H134</f>
        <v>15260781.523456782</v>
      </c>
      <c r="I138" s="111">
        <f t="shared" si="41"/>
        <v>14988984.527673643</v>
      </c>
      <c r="J138" s="111">
        <f t="shared" si="41"/>
        <v>14704277.174590806</v>
      </c>
      <c r="K138" s="111">
        <f t="shared" si="41"/>
        <v>14406046.222236533</v>
      </c>
      <c r="L138" s="111">
        <f t="shared" si="41"/>
        <v>14093649.299645431</v>
      </c>
      <c r="M138" s="111">
        <f t="shared" si="41"/>
        <v>13766413.523231253</v>
      </c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</row>
    <row r="139" spans="2:27" s="7" customFormat="1" outlineLevel="1" x14ac:dyDescent="0.25">
      <c r="B139" s="37"/>
      <c r="C139" s="122"/>
      <c r="E139" s="9"/>
      <c r="F139" s="9"/>
      <c r="G139" s="9"/>
      <c r="H139" s="9"/>
      <c r="I139" s="9"/>
      <c r="J139" s="9"/>
      <c r="K139" s="9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</row>
    <row r="140" spans="2:27" s="7" customFormat="1" outlineLevel="1" x14ac:dyDescent="0.25">
      <c r="B140" s="37"/>
      <c r="C140" s="181" t="s">
        <v>139</v>
      </c>
      <c r="D140" s="60" t="s">
        <v>72</v>
      </c>
      <c r="E140" s="9"/>
      <c r="F140" s="9"/>
      <c r="G140" s="108">
        <f t="shared" ref="G140:M140" si="42">+G124/Perm_Loan_Balance</f>
        <v>4.030481304449484E-2</v>
      </c>
      <c r="H140" s="108">
        <f t="shared" si="42"/>
        <v>0.12127272727272727</v>
      </c>
      <c r="I140" s="108">
        <f t="shared" si="42"/>
        <v>0.14163386744856904</v>
      </c>
      <c r="J140" s="108">
        <f t="shared" si="42"/>
        <v>0.14588288347202613</v>
      </c>
      <c r="K140" s="108">
        <f t="shared" si="42"/>
        <v>9.6636029214525604E-2</v>
      </c>
      <c r="L140" s="108">
        <f t="shared" si="42"/>
        <v>0.12779070756732214</v>
      </c>
      <c r="M140" s="108">
        <f t="shared" si="42"/>
        <v>0.15941016560773671</v>
      </c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</row>
    <row r="141" spans="2:27" s="7" customFormat="1" outlineLevel="1" x14ac:dyDescent="0.25">
      <c r="B141" s="37"/>
      <c r="C141" s="168"/>
      <c r="D141" s="88"/>
      <c r="E141" s="9"/>
      <c r="F141" s="9"/>
      <c r="G141" s="9"/>
      <c r="H141" s="9"/>
      <c r="I141" s="9"/>
      <c r="J141" s="9"/>
      <c r="K141" s="9"/>
      <c r="L141" s="9"/>
      <c r="M141" s="9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</row>
    <row r="142" spans="2:27" s="7" customFormat="1" outlineLevel="1" x14ac:dyDescent="0.25">
      <c r="B142" s="37"/>
      <c r="C142" s="181" t="s">
        <v>140</v>
      </c>
      <c r="D142" s="60" t="s">
        <v>141</v>
      </c>
      <c r="E142" s="9"/>
      <c r="F142" s="9"/>
      <c r="G142" s="121">
        <f>-G124/G133</f>
        <v>0.84852237988410195</v>
      </c>
      <c r="H142" s="121">
        <f t="shared" ref="H142:M142" si="43">-H124/H133</f>
        <v>2.5938581428850642</v>
      </c>
      <c r="I142" s="121">
        <f t="shared" si="43"/>
        <v>3.080861882457433</v>
      </c>
      <c r="J142" s="121">
        <f t="shared" si="43"/>
        <v>3.2308293337339649</v>
      </c>
      <c r="K142" s="121">
        <f t="shared" si="43"/>
        <v>2.1816108541347159</v>
      </c>
      <c r="L142" s="121">
        <f t="shared" si="43"/>
        <v>2.9446681616757173</v>
      </c>
      <c r="M142" s="121">
        <f t="shared" si="43"/>
        <v>3.754693080035314</v>
      </c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</row>
    <row r="143" spans="2:27" s="7" customFormat="1" outlineLevel="1" x14ac:dyDescent="0.25">
      <c r="B143" s="37"/>
      <c r="C143" s="181" t="s">
        <v>142</v>
      </c>
      <c r="D143" s="60" t="s">
        <v>141</v>
      </c>
      <c r="E143" s="9"/>
      <c r="F143" s="9"/>
      <c r="G143" s="121">
        <f>-G130/G133</f>
        <v>0.84852237988410195</v>
      </c>
      <c r="H143" s="121">
        <f t="shared" ref="H143:M143" si="44">-H130/H133</f>
        <v>2.5938581428850642</v>
      </c>
      <c r="I143" s="121">
        <f t="shared" si="44"/>
        <v>3.080861882457433</v>
      </c>
      <c r="J143" s="121">
        <f t="shared" si="44"/>
        <v>3.2308293337339649</v>
      </c>
      <c r="K143" s="121">
        <f t="shared" si="44"/>
        <v>2.0965637343047123</v>
      </c>
      <c r="L143" s="121">
        <f t="shared" si="44"/>
        <v>2.8144956681406557</v>
      </c>
      <c r="M143" s="121">
        <f t="shared" si="44"/>
        <v>3.754693080035314</v>
      </c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</row>
    <row r="144" spans="2:27" s="7" customFormat="1" outlineLevel="1" x14ac:dyDescent="0.25">
      <c r="B144" s="37"/>
      <c r="C144" s="168"/>
      <c r="D144" s="88"/>
      <c r="E144" s="9"/>
      <c r="F144" s="9"/>
      <c r="G144" s="71"/>
      <c r="H144" s="71"/>
      <c r="I144" s="71"/>
      <c r="J144" s="71"/>
      <c r="K144" s="71"/>
      <c r="L144" s="71"/>
      <c r="M144" s="71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</row>
    <row r="145" spans="2:27" s="7" customFormat="1" outlineLevel="1" x14ac:dyDescent="0.25">
      <c r="B145" s="37"/>
      <c r="C145" s="181" t="s">
        <v>143</v>
      </c>
      <c r="D145" s="60" t="s">
        <v>141</v>
      </c>
      <c r="E145" s="9"/>
      <c r="F145" s="9"/>
      <c r="G145" s="121">
        <f>-G124/SUM(G133:G134)</f>
        <v>0.63763900062973888</v>
      </c>
      <c r="H145" s="121">
        <f t="shared" ref="H145:M145" si="45">-H124/SUM(H133:H134)</f>
        <v>1.9185852701129649</v>
      </c>
      <c r="I145" s="121">
        <f t="shared" si="45"/>
        <v>2.2407070241345757</v>
      </c>
      <c r="J145" s="121">
        <f t="shared" si="45"/>
        <v>2.3079282348586134</v>
      </c>
      <c r="K145" s="121">
        <f t="shared" si="45"/>
        <v>1.52882240205783</v>
      </c>
      <c r="L145" s="121">
        <f t="shared" si="45"/>
        <v>2.0217024446444936</v>
      </c>
      <c r="M145" s="121">
        <f t="shared" si="45"/>
        <v>2.5219354962923481</v>
      </c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</row>
    <row r="146" spans="2:27" s="7" customFormat="1" outlineLevel="1" x14ac:dyDescent="0.25">
      <c r="B146" s="37"/>
      <c r="C146" s="181" t="s">
        <v>144</v>
      </c>
      <c r="D146" s="60" t="s">
        <v>141</v>
      </c>
      <c r="E146" s="9"/>
      <c r="F146" s="9"/>
      <c r="G146" s="121">
        <f>-G130/SUM(G133:G134)</f>
        <v>0.63763900062973888</v>
      </c>
      <c r="H146" s="121">
        <f t="shared" ref="H146:M146" si="46">-H130/SUM(H133:H134)</f>
        <v>1.9185852701129649</v>
      </c>
      <c r="I146" s="121">
        <f t="shared" si="46"/>
        <v>2.2407070241345757</v>
      </c>
      <c r="J146" s="121">
        <f t="shared" si="46"/>
        <v>2.3079282348586134</v>
      </c>
      <c r="K146" s="121">
        <f t="shared" si="46"/>
        <v>1.4692233485510229</v>
      </c>
      <c r="L146" s="121">
        <f t="shared" si="46"/>
        <v>1.9323307280516326</v>
      </c>
      <c r="M146" s="121">
        <f t="shared" si="46"/>
        <v>2.5219354962923481</v>
      </c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</row>
    <row r="147" spans="2:27" s="7" customFormat="1" x14ac:dyDescent="0.25"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</row>
    <row r="148" spans="2:27" s="7" customFormat="1" x14ac:dyDescent="0.25">
      <c r="B148" s="63"/>
      <c r="C148" s="63"/>
      <c r="D148" s="64"/>
      <c r="E148" s="63"/>
      <c r="F148" s="65" t="str">
        <f>$F$47</f>
        <v>Construction:</v>
      </c>
      <c r="G148" s="66" t="str">
        <f>$G$47</f>
        <v>Operational Years:</v>
      </c>
      <c r="H148" s="67"/>
      <c r="I148" s="67"/>
      <c r="J148" s="67"/>
      <c r="K148" s="67"/>
      <c r="L148" s="67"/>
      <c r="M148" s="67"/>
      <c r="N148" s="66" t="str">
        <f>$N$47</f>
        <v>Stabilized:</v>
      </c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</row>
    <row r="149" spans="2:27" s="7" customFormat="1" x14ac:dyDescent="0.25">
      <c r="B149" s="68" t="s">
        <v>53</v>
      </c>
      <c r="C149" s="68"/>
      <c r="D149" s="54" t="str">
        <f>+$D$5</f>
        <v>Units:</v>
      </c>
      <c r="E149" s="68"/>
      <c r="F149" s="69">
        <f>$F$48</f>
        <v>43101</v>
      </c>
      <c r="G149" s="70">
        <f>$G$48</f>
        <v>43496</v>
      </c>
      <c r="H149" s="69">
        <f>$H$48</f>
        <v>43861</v>
      </c>
      <c r="I149" s="69">
        <f>$I$48</f>
        <v>44227</v>
      </c>
      <c r="J149" s="69">
        <f>$J$48</f>
        <v>44592</v>
      </c>
      <c r="K149" s="69">
        <f>$K$48</f>
        <v>44957</v>
      </c>
      <c r="L149" s="69">
        <f>$L$48</f>
        <v>45322</v>
      </c>
      <c r="M149" s="69">
        <f>$M$48</f>
        <v>45688</v>
      </c>
      <c r="N149" s="70">
        <f>$N$48</f>
        <v>46053</v>
      </c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</row>
    <row r="150" spans="2:27" s="7" customFormat="1" outlineLevel="1" x14ac:dyDescent="0.25">
      <c r="P150" s="186"/>
      <c r="Q150" s="187"/>
      <c r="R150" s="187"/>
      <c r="S150" s="187"/>
      <c r="T150" s="187"/>
      <c r="U150" s="187"/>
      <c r="V150" s="187"/>
      <c r="W150" s="187"/>
      <c r="X150" s="187"/>
      <c r="Y150" s="187"/>
      <c r="Z150" s="188"/>
      <c r="AA150" s="188"/>
    </row>
    <row r="151" spans="2:27" s="7" customFormat="1" outlineLevel="1" x14ac:dyDescent="0.25">
      <c r="C151" s="7" t="s">
        <v>147</v>
      </c>
      <c r="D151" s="60" t="s">
        <v>84</v>
      </c>
      <c r="E151" s="30">
        <f>+Land_Acq_Costs*Excess_Land_Pct</f>
        <v>7182000.0000000009</v>
      </c>
      <c r="F151" s="30">
        <f>+E151*(1+F152)</f>
        <v>7397460.0000000009</v>
      </c>
      <c r="G151" s="30">
        <f t="shared" ref="G151:M151" si="47">+F151*(1+G152)</f>
        <v>7619383.8000000007</v>
      </c>
      <c r="H151" s="30">
        <f t="shared" si="47"/>
        <v>7847965.3140000012</v>
      </c>
      <c r="I151" s="30">
        <f t="shared" si="47"/>
        <v>8083404.2734200014</v>
      </c>
      <c r="J151" s="30">
        <f t="shared" si="47"/>
        <v>8325906.4016226018</v>
      </c>
      <c r="K151" s="30">
        <f t="shared" si="47"/>
        <v>8575683.5936712809</v>
      </c>
      <c r="L151" s="30">
        <f t="shared" si="47"/>
        <v>8832954.1014814191</v>
      </c>
      <c r="M151" s="30">
        <f t="shared" si="47"/>
        <v>9097942.7245258614</v>
      </c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</row>
    <row r="152" spans="2:27" s="7" customFormat="1" outlineLevel="1" x14ac:dyDescent="0.25">
      <c r="C152" s="122" t="s">
        <v>52</v>
      </c>
      <c r="D152" s="60" t="s">
        <v>72</v>
      </c>
      <c r="F152" s="17">
        <v>0.03</v>
      </c>
      <c r="G152" s="17">
        <v>0.03</v>
      </c>
      <c r="H152" s="17">
        <v>0.03</v>
      </c>
      <c r="I152" s="17">
        <v>0.03</v>
      </c>
      <c r="J152" s="17">
        <v>0.03</v>
      </c>
      <c r="K152" s="17">
        <v>0.03</v>
      </c>
      <c r="L152" s="17">
        <v>0.03</v>
      </c>
      <c r="M152" s="17">
        <v>0.03</v>
      </c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</row>
    <row r="153" spans="2:27" s="7" customFormat="1" outlineLevel="1" x14ac:dyDescent="0.25"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</row>
    <row r="154" spans="2:27" s="7" customFormat="1" outlineLevel="1" x14ac:dyDescent="0.25">
      <c r="C154" s="7" t="s">
        <v>58</v>
      </c>
      <c r="D154" s="60" t="s">
        <v>84</v>
      </c>
      <c r="G154" s="34">
        <f>+H124</f>
        <v>1912223.4680330097</v>
      </c>
      <c r="H154" s="34">
        <f t="shared" ref="H154:M154" si="48">+I124</f>
        <v>2233277.1043761121</v>
      </c>
      <c r="I154" s="34">
        <f t="shared" si="48"/>
        <v>2300275.4175073956</v>
      </c>
      <c r="J154" s="34">
        <f t="shared" si="48"/>
        <v>1523753.0075989007</v>
      </c>
      <c r="K154" s="34">
        <f t="shared" si="48"/>
        <v>2014998.7181968114</v>
      </c>
      <c r="L154" s="34">
        <f t="shared" si="48"/>
        <v>2513573.056146604</v>
      </c>
      <c r="M154" s="34">
        <f t="shared" si="48"/>
        <v>2588980.2478310023</v>
      </c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</row>
    <row r="155" spans="2:27" s="7" customFormat="1" outlineLevel="1" x14ac:dyDescent="0.25">
      <c r="C155" s="7" t="s">
        <v>40</v>
      </c>
      <c r="D155" s="60" t="s">
        <v>72</v>
      </c>
      <c r="G155" s="18">
        <v>5.8000000000000003E-2</v>
      </c>
      <c r="H155" s="18">
        <v>5.7000000000000002E-2</v>
      </c>
      <c r="I155" s="18">
        <v>5.6000000000000001E-2</v>
      </c>
      <c r="J155" s="18">
        <v>5.5E-2</v>
      </c>
      <c r="K155" s="18">
        <v>5.6000000000000001E-2</v>
      </c>
      <c r="L155" s="18">
        <v>5.7000000000000002E-2</v>
      </c>
      <c r="M155" s="18">
        <v>5.7500000000000002E-2</v>
      </c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</row>
    <row r="156" spans="2:27" s="7" customFormat="1" outlineLevel="1" x14ac:dyDescent="0.25">
      <c r="C156" s="7" t="s">
        <v>59</v>
      </c>
      <c r="D156" s="60" t="s">
        <v>84</v>
      </c>
      <c r="G156" s="34">
        <f>+G154/G155</f>
        <v>32969370.138500165</v>
      </c>
      <c r="H156" s="34">
        <f t="shared" ref="H156:M156" si="49">+H154/H155</f>
        <v>39180300.076773897</v>
      </c>
      <c r="I156" s="34">
        <f t="shared" si="49"/>
        <v>41076346.741203494</v>
      </c>
      <c r="J156" s="34">
        <f t="shared" si="49"/>
        <v>27704600.138161831</v>
      </c>
      <c r="K156" s="34">
        <f t="shared" si="49"/>
        <v>35982119.9678002</v>
      </c>
      <c r="L156" s="34">
        <f t="shared" si="49"/>
        <v>44097772.914852701</v>
      </c>
      <c r="M156" s="34">
        <f t="shared" si="49"/>
        <v>45025743.440539166</v>
      </c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</row>
    <row r="157" spans="2:27" s="7" customFormat="1" outlineLevel="1" x14ac:dyDescent="0.25"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</row>
    <row r="158" spans="2:27" s="7" customFormat="1" outlineLevel="1" x14ac:dyDescent="0.25">
      <c r="C158" s="24" t="s">
        <v>54</v>
      </c>
      <c r="D158" s="60" t="s">
        <v>84</v>
      </c>
      <c r="F158" s="20">
        <f>-SUM($E$43:$E$44)</f>
        <v>-15028860</v>
      </c>
      <c r="G158" s="35">
        <v>0</v>
      </c>
      <c r="H158" s="34">
        <f>+G158</f>
        <v>0</v>
      </c>
      <c r="I158" s="34">
        <f t="shared" ref="I158:M158" si="50">+H158</f>
        <v>0</v>
      </c>
      <c r="J158" s="34">
        <f t="shared" si="50"/>
        <v>0</v>
      </c>
      <c r="K158" s="34">
        <f t="shared" si="50"/>
        <v>0</v>
      </c>
      <c r="L158" s="34">
        <f t="shared" si="50"/>
        <v>0</v>
      </c>
      <c r="M158" s="34">
        <f t="shared" si="50"/>
        <v>0</v>
      </c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</row>
    <row r="159" spans="2:27" s="7" customFormat="1" outlineLevel="1" x14ac:dyDescent="0.25">
      <c r="C159" s="24" t="s">
        <v>55</v>
      </c>
      <c r="D159" s="60" t="s">
        <v>84</v>
      </c>
      <c r="F159" s="20">
        <f>+Perm_Loan_Balance</f>
        <v>15767959.631456602</v>
      </c>
      <c r="G159" s="35">
        <v>0</v>
      </c>
      <c r="H159" s="20">
        <f t="shared" ref="H159:M161" si="51">+G159</f>
        <v>0</v>
      </c>
      <c r="I159" s="20">
        <f t="shared" si="51"/>
        <v>0</v>
      </c>
      <c r="J159" s="20">
        <f t="shared" si="51"/>
        <v>0</v>
      </c>
      <c r="K159" s="20">
        <f t="shared" si="51"/>
        <v>0</v>
      </c>
      <c r="L159" s="20">
        <f t="shared" si="51"/>
        <v>0</v>
      </c>
      <c r="M159" s="20">
        <f t="shared" si="51"/>
        <v>0</v>
      </c>
      <c r="P159" s="186"/>
      <c r="Q159" s="187"/>
      <c r="R159" s="187"/>
      <c r="S159" s="187"/>
      <c r="T159" s="187"/>
      <c r="U159" s="187"/>
      <c r="V159" s="187"/>
      <c r="W159" s="187"/>
      <c r="X159" s="187"/>
      <c r="Y159" s="187"/>
      <c r="Z159" s="188"/>
      <c r="AA159" s="188"/>
    </row>
    <row r="160" spans="2:27" s="7" customFormat="1" outlineLevel="1" x14ac:dyDescent="0.25">
      <c r="C160" s="24" t="s">
        <v>201</v>
      </c>
      <c r="D160" s="60" t="s">
        <v>84</v>
      </c>
      <c r="F160" s="20">
        <f>-Perm_Loan_Balance*Perm_Loan_Fees</f>
        <v>-157679.59631456604</v>
      </c>
      <c r="G160" s="35">
        <v>0</v>
      </c>
      <c r="H160" s="20">
        <f t="shared" si="51"/>
        <v>0</v>
      </c>
      <c r="I160" s="20">
        <f t="shared" si="51"/>
        <v>0</v>
      </c>
      <c r="J160" s="20">
        <f t="shared" si="51"/>
        <v>0</v>
      </c>
      <c r="K160" s="20">
        <f t="shared" si="51"/>
        <v>0</v>
      </c>
      <c r="L160" s="20">
        <f t="shared" si="51"/>
        <v>0</v>
      </c>
      <c r="M160" s="20">
        <f t="shared" si="51"/>
        <v>0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</row>
    <row r="161" spans="3:27" s="7" customFormat="1" outlineLevel="1" x14ac:dyDescent="0.25">
      <c r="C161" s="24" t="s">
        <v>56</v>
      </c>
      <c r="D161" s="60" t="s">
        <v>84</v>
      </c>
      <c r="F161" s="47">
        <f>-'Constr-Projections'!Q24</f>
        <v>-15583300.378144361</v>
      </c>
      <c r="G161" s="35">
        <v>0</v>
      </c>
      <c r="H161" s="20">
        <f t="shared" si="51"/>
        <v>0</v>
      </c>
      <c r="I161" s="20">
        <f t="shared" si="51"/>
        <v>0</v>
      </c>
      <c r="J161" s="20">
        <f t="shared" si="51"/>
        <v>0</v>
      </c>
      <c r="K161" s="20">
        <f t="shared" si="51"/>
        <v>0</v>
      </c>
      <c r="L161" s="20">
        <f t="shared" si="51"/>
        <v>0</v>
      </c>
      <c r="M161" s="20">
        <f t="shared" si="51"/>
        <v>0</v>
      </c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</row>
    <row r="162" spans="3:27" s="7" customFormat="1" outlineLevel="1" x14ac:dyDescent="0.25">
      <c r="C162" s="24" t="s">
        <v>145</v>
      </c>
      <c r="D162" s="60" t="s">
        <v>84</v>
      </c>
      <c r="F162" s="97">
        <v>0</v>
      </c>
      <c r="G162" s="34">
        <f>+G136</f>
        <v>-361159.45310833619</v>
      </c>
      <c r="H162" s="34">
        <f t="shared" ref="H162:M162" si="52">+H136</f>
        <v>915539.34988567326</v>
      </c>
      <c r="I162" s="34">
        <f t="shared" si="52"/>
        <v>1236592.9862287757</v>
      </c>
      <c r="J162" s="34">
        <f t="shared" si="52"/>
        <v>1303591.2993600592</v>
      </c>
      <c r="K162" s="34">
        <f t="shared" si="52"/>
        <v>467667.45936471655</v>
      </c>
      <c r="L162" s="34">
        <f t="shared" si="52"/>
        <v>929239.22950980556</v>
      </c>
      <c r="M162" s="34">
        <f t="shared" si="52"/>
        <v>1516888.9379992676</v>
      </c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</row>
    <row r="163" spans="3:27" s="7" customFormat="1" outlineLevel="1" x14ac:dyDescent="0.25">
      <c r="C163" s="24" t="s">
        <v>57</v>
      </c>
      <c r="D163" s="60" t="s">
        <v>84</v>
      </c>
      <c r="F163" s="97">
        <v>0</v>
      </c>
      <c r="G163" s="97">
        <v>0</v>
      </c>
      <c r="H163" s="97">
        <v>0</v>
      </c>
      <c r="I163" s="97">
        <v>0</v>
      </c>
      <c r="J163" s="20">
        <f>+J151</f>
        <v>8325906.4016226018</v>
      </c>
      <c r="K163" s="97">
        <v>0</v>
      </c>
      <c r="L163" s="97">
        <v>0</v>
      </c>
      <c r="M163" s="97">
        <v>0</v>
      </c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</row>
    <row r="164" spans="3:27" s="7" customFormat="1" outlineLevel="1" x14ac:dyDescent="0.25">
      <c r="C164" s="24" t="s">
        <v>60</v>
      </c>
      <c r="D164" s="60" t="s">
        <v>84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34">
        <f>+M156</f>
        <v>45025743.440539166</v>
      </c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</row>
    <row r="165" spans="3:27" s="7" customFormat="1" outlineLevel="1" x14ac:dyDescent="0.25">
      <c r="C165" s="24" t="s">
        <v>148</v>
      </c>
      <c r="D165" s="60" t="s">
        <v>84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34">
        <f>-M164*Exit_Fee_Pct</f>
        <v>-675386.15160808747</v>
      </c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</row>
    <row r="166" spans="3:27" s="7" customFormat="1" outlineLevel="1" x14ac:dyDescent="0.25">
      <c r="C166" s="24" t="s">
        <v>61</v>
      </c>
      <c r="D166" s="60" t="s">
        <v>84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34">
        <f>-M138</f>
        <v>-13766413.523231253</v>
      </c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</row>
    <row r="167" spans="3:27" s="7" customFormat="1" outlineLevel="1" x14ac:dyDescent="0.25">
      <c r="C167" s="24" t="s">
        <v>62</v>
      </c>
      <c r="D167" s="99" t="s">
        <v>84</v>
      </c>
      <c r="E167" s="10"/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34">
        <f>+M166*Perm_Loan_Prepay_Penalty</f>
        <v>-137664.13523231255</v>
      </c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</row>
    <row r="168" spans="3:27" s="7" customFormat="1" outlineLevel="1" x14ac:dyDescent="0.25">
      <c r="C168" s="51" t="s">
        <v>63</v>
      </c>
      <c r="D168" s="60" t="s">
        <v>84</v>
      </c>
      <c r="F168" s="52">
        <f>SUM(F158:F167)</f>
        <v>-15001880.343002325</v>
      </c>
      <c r="G168" s="52">
        <f t="shared" ref="G168:M168" si="53">SUM(G158:G167)</f>
        <v>-361159.45310833619</v>
      </c>
      <c r="H168" s="52">
        <f t="shared" si="53"/>
        <v>915539.34988567326</v>
      </c>
      <c r="I168" s="52">
        <f t="shared" si="53"/>
        <v>1236592.9862287757</v>
      </c>
      <c r="J168" s="52">
        <f t="shared" si="53"/>
        <v>9629497.7009826601</v>
      </c>
      <c r="K168" s="52">
        <f t="shared" si="53"/>
        <v>467667.45936471655</v>
      </c>
      <c r="L168" s="52">
        <f t="shared" si="53"/>
        <v>929239.22950980556</v>
      </c>
      <c r="M168" s="52">
        <f t="shared" si="53"/>
        <v>31963168.568466786</v>
      </c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</row>
    <row r="169" spans="3:27" s="7" customFormat="1" outlineLevel="1" x14ac:dyDescent="0.25"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</row>
    <row r="170" spans="3:27" s="7" customFormat="1" outlineLevel="1" x14ac:dyDescent="0.25">
      <c r="C170" s="141" t="s">
        <v>64</v>
      </c>
      <c r="D170" s="142" t="s">
        <v>72</v>
      </c>
      <c r="E170" s="143"/>
      <c r="F170" s="144">
        <f>IRR(F168:M168)</f>
        <v>0.20155163260147368</v>
      </c>
      <c r="G170" s="34"/>
      <c r="H170" s="34"/>
      <c r="I170" s="34"/>
      <c r="J170" s="34"/>
      <c r="K170" s="34"/>
      <c r="L170" s="34"/>
      <c r="M170" s="34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</row>
    <row r="171" spans="3:27" s="7" customFormat="1" outlineLevel="1" x14ac:dyDescent="0.25"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</row>
    <row r="172" spans="3:27" s="7" customFormat="1" outlineLevel="1" x14ac:dyDescent="0.25">
      <c r="C172" s="164" t="s">
        <v>152</v>
      </c>
      <c r="D172" s="152" t="s">
        <v>84</v>
      </c>
      <c r="E172" s="122"/>
      <c r="F172" s="20">
        <f>SUM(F159:M167)</f>
        <v>44807525.498327754</v>
      </c>
      <c r="G172" s="122"/>
      <c r="H172" s="122"/>
      <c r="I172" s="122"/>
      <c r="J172" s="122"/>
      <c r="K172" s="122"/>
      <c r="L172" s="122"/>
      <c r="M172" s="122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</row>
    <row r="173" spans="3:27" s="7" customFormat="1" outlineLevel="1" x14ac:dyDescent="0.25">
      <c r="C173" s="164" t="s">
        <v>153</v>
      </c>
      <c r="D173" s="152" t="s">
        <v>84</v>
      </c>
      <c r="E173" s="122"/>
      <c r="F173" s="20">
        <f>-SUM(F158:M158)</f>
        <v>15028860</v>
      </c>
      <c r="G173" s="165"/>
      <c r="H173" s="165"/>
      <c r="I173" s="165"/>
      <c r="J173" s="165"/>
      <c r="K173" s="165"/>
      <c r="L173" s="165"/>
      <c r="M173" s="165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</row>
    <row r="174" spans="3:27" s="7" customFormat="1" outlineLevel="1" x14ac:dyDescent="0.25">
      <c r="C174" s="164" t="s">
        <v>154</v>
      </c>
      <c r="D174" s="152" t="s">
        <v>141</v>
      </c>
      <c r="E174" s="122"/>
      <c r="F174" s="166">
        <f>+F172/F173</f>
        <v>2.9814320912116923</v>
      </c>
      <c r="G174" s="53"/>
      <c r="H174" s="53"/>
      <c r="I174" s="53"/>
      <c r="J174" s="53"/>
      <c r="K174" s="53"/>
      <c r="L174" s="53"/>
      <c r="M174" s="53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</row>
    <row r="175" spans="3:27" outlineLevel="1" x14ac:dyDescent="0.25">
      <c r="C175" s="122" t="s">
        <v>155</v>
      </c>
      <c r="D175" s="152" t="s">
        <v>72</v>
      </c>
      <c r="E175" s="122"/>
      <c r="F175" s="122"/>
      <c r="G175" s="167">
        <f t="shared" ref="G175:M175" si="54">+G168/$F173</f>
        <v>-2.4031061112308998E-2</v>
      </c>
      <c r="H175" s="167">
        <f t="shared" si="54"/>
        <v>6.0918748985995828E-2</v>
      </c>
      <c r="I175" s="167">
        <f t="shared" si="54"/>
        <v>8.2281223341542586E-2</v>
      </c>
      <c r="J175" s="167">
        <f t="shared" si="54"/>
        <v>0.64073374167985198</v>
      </c>
      <c r="K175" s="167">
        <f t="shared" si="54"/>
        <v>3.1117959669909531E-2</v>
      </c>
      <c r="L175" s="167">
        <f t="shared" si="54"/>
        <v>6.1830320430811492E-2</v>
      </c>
      <c r="M175" s="167">
        <f t="shared" si="54"/>
        <v>2.1267859683613253</v>
      </c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</row>
    <row r="176" spans="3:27" x14ac:dyDescent="0.25"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</row>
    <row r="177" spans="2:31" x14ac:dyDescent="0.25">
      <c r="B177" s="63"/>
      <c r="C177" s="64"/>
      <c r="D177" s="64"/>
      <c r="E177" s="63"/>
      <c r="F177" s="65" t="str">
        <f>$F$47</f>
        <v>Construction:</v>
      </c>
      <c r="G177" s="66" t="str">
        <f>$G$47</f>
        <v>Operational Years:</v>
      </c>
      <c r="H177" s="67"/>
      <c r="I177" s="67"/>
      <c r="J177" s="67"/>
      <c r="K177" s="67"/>
      <c r="L177" s="67"/>
      <c r="M177" s="67"/>
      <c r="N177" s="66" t="str">
        <f>$N$47</f>
        <v>Stabilized:</v>
      </c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</row>
    <row r="178" spans="2:31" x14ac:dyDescent="0.25">
      <c r="B178" s="68" t="s">
        <v>156</v>
      </c>
      <c r="C178" s="126"/>
      <c r="D178" s="54" t="str">
        <f>+$D$5</f>
        <v>Units:</v>
      </c>
      <c r="E178" s="68"/>
      <c r="F178" s="69">
        <f>$F$48</f>
        <v>43101</v>
      </c>
      <c r="G178" s="70">
        <f>$G$48</f>
        <v>43496</v>
      </c>
      <c r="H178" s="69">
        <f>$H$48</f>
        <v>43861</v>
      </c>
      <c r="I178" s="69">
        <f>$I$48</f>
        <v>44227</v>
      </c>
      <c r="J178" s="69">
        <f>$J$48</f>
        <v>44592</v>
      </c>
      <c r="K178" s="69">
        <f>$K$48</f>
        <v>44957</v>
      </c>
      <c r="L178" s="69">
        <f>$L$48</f>
        <v>45322</v>
      </c>
      <c r="M178" s="69">
        <f>$M$48</f>
        <v>45688</v>
      </c>
      <c r="N178" s="70">
        <f>$N$48</f>
        <v>46053</v>
      </c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</row>
    <row r="179" spans="2:31" outlineLevel="1" x14ac:dyDescent="0.25">
      <c r="P179" s="186"/>
      <c r="Q179" s="187"/>
      <c r="R179" s="187"/>
      <c r="S179" s="187"/>
      <c r="T179" s="187"/>
      <c r="U179" s="187"/>
      <c r="V179" s="187"/>
      <c r="W179" s="187"/>
      <c r="X179" s="187"/>
      <c r="Y179" s="187"/>
      <c r="Z179" s="188"/>
      <c r="AA179" s="188"/>
      <c r="AB179" s="188"/>
      <c r="AC179" s="188"/>
      <c r="AD179" s="188"/>
      <c r="AE179" s="188"/>
    </row>
    <row r="180" spans="2:31" outlineLevel="1" x14ac:dyDescent="0.25">
      <c r="C180" s="127" t="str">
        <f>"Tier 1 IRR - Up to "&amp;TEXT(IRR_Hurdle_1,"0.0%")&amp;":"</f>
        <v>Tier 1 IRR - Up to 10.0%:</v>
      </c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P180" s="187"/>
      <c r="Q180" s="188"/>
      <c r="R180" s="187"/>
      <c r="S180" s="187"/>
      <c r="T180" s="187"/>
      <c r="U180" s="187"/>
      <c r="V180" s="187"/>
      <c r="W180" s="187"/>
      <c r="X180" s="187"/>
      <c r="Y180" s="187"/>
      <c r="Z180" s="188"/>
      <c r="AA180" s="188"/>
      <c r="AB180" s="188"/>
      <c r="AC180" s="188"/>
      <c r="AD180" s="188"/>
      <c r="AE180" s="188"/>
    </row>
    <row r="181" spans="2:31" outlineLevel="1" x14ac:dyDescent="0.25">
      <c r="C181" s="129" t="s">
        <v>158</v>
      </c>
      <c r="D181" s="130"/>
      <c r="E181" s="130"/>
      <c r="F181" s="131"/>
      <c r="G181" s="130"/>
      <c r="H181" s="130"/>
      <c r="I181" s="130"/>
      <c r="J181" s="130"/>
      <c r="K181" s="130"/>
      <c r="L181" s="130"/>
      <c r="M181" s="130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</row>
    <row r="182" spans="2:31" outlineLevel="1" x14ac:dyDescent="0.25">
      <c r="C182" s="132" t="s">
        <v>159</v>
      </c>
      <c r="D182" s="131"/>
      <c r="E182" s="131"/>
      <c r="F182" s="131"/>
      <c r="G182" s="133">
        <f>+F185</f>
        <v>-15001880.343002325</v>
      </c>
      <c r="H182" s="133">
        <f t="shared" ref="H182" si="55">+G185</f>
        <v>-16863227.830410894</v>
      </c>
      <c r="I182" s="133">
        <f t="shared" ref="I182:M182" si="56">+H185</f>
        <v>-17634011.263566311</v>
      </c>
      <c r="J182" s="133">
        <f t="shared" si="56"/>
        <v>-18160819.403694168</v>
      </c>
      <c r="K182" s="133">
        <f t="shared" si="56"/>
        <v>-10347403.643080924</v>
      </c>
      <c r="L182" s="133">
        <f t="shared" si="56"/>
        <v>-10914476.5480243</v>
      </c>
      <c r="M182" s="133">
        <f t="shared" si="56"/>
        <v>-11076684.973316925</v>
      </c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</row>
    <row r="183" spans="2:31" outlineLevel="1" x14ac:dyDescent="0.25">
      <c r="C183" s="132" t="s">
        <v>160</v>
      </c>
      <c r="D183" s="134">
        <f>+IRR_Hurdle_1</f>
        <v>0.1</v>
      </c>
      <c r="E183" s="131"/>
      <c r="F183" s="131"/>
      <c r="G183" s="133">
        <f>+G182*$D183</f>
        <v>-1500188.0343002325</v>
      </c>
      <c r="H183" s="133">
        <f>+H182*$D183</f>
        <v>-1686322.7830410895</v>
      </c>
      <c r="I183" s="133">
        <f t="shared" ref="I183:M183" si="57">+I182*$D183</f>
        <v>-1763401.1263566313</v>
      </c>
      <c r="J183" s="133">
        <f t="shared" si="57"/>
        <v>-1816081.940369417</v>
      </c>
      <c r="K183" s="133">
        <f t="shared" si="57"/>
        <v>-1034740.3643080924</v>
      </c>
      <c r="L183" s="133">
        <f t="shared" si="57"/>
        <v>-1091447.6548024302</v>
      </c>
      <c r="M183" s="133">
        <f t="shared" si="57"/>
        <v>-1107668.4973316926</v>
      </c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</row>
    <row r="184" spans="2:31" outlineLevel="1" x14ac:dyDescent="0.25">
      <c r="C184" s="132" t="s">
        <v>161</v>
      </c>
      <c r="D184" s="17">
        <v>1</v>
      </c>
      <c r="E184" s="135"/>
      <c r="F184" s="136"/>
      <c r="G184" s="133">
        <f>MIN(G$168*$D184,-SUM(G182:G183))</f>
        <v>-361159.45310833619</v>
      </c>
      <c r="H184" s="133">
        <f t="shared" ref="H184:M184" si="58">MIN(H$168*$D184,-SUM(H182:H183))</f>
        <v>915539.34988567326</v>
      </c>
      <c r="I184" s="133">
        <f t="shared" si="58"/>
        <v>1236592.9862287757</v>
      </c>
      <c r="J184" s="133">
        <f t="shared" si="58"/>
        <v>9629497.7009826601</v>
      </c>
      <c r="K184" s="133">
        <f t="shared" si="58"/>
        <v>467667.45936471655</v>
      </c>
      <c r="L184" s="133">
        <f t="shared" si="58"/>
        <v>929239.22950980556</v>
      </c>
      <c r="M184" s="133">
        <f t="shared" si="58"/>
        <v>12184353.470648617</v>
      </c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</row>
    <row r="185" spans="2:31" outlineLevel="1" x14ac:dyDescent="0.25">
      <c r="C185" s="39" t="s">
        <v>162</v>
      </c>
      <c r="D185" s="137"/>
      <c r="E185" s="131"/>
      <c r="F185" s="52">
        <f>-SUM($E$43:$E$44)+SUM($F$159:$F$161)</f>
        <v>-15001880.343002325</v>
      </c>
      <c r="G185" s="52">
        <f>SUM(G182:G184)</f>
        <v>-16863227.830410894</v>
      </c>
      <c r="H185" s="52">
        <f>SUM(H182:H184)</f>
        <v>-17634011.263566311</v>
      </c>
      <c r="I185" s="52">
        <f t="shared" ref="I185:M185" si="59">SUM(I182:I184)</f>
        <v>-18160819.403694168</v>
      </c>
      <c r="J185" s="52">
        <f t="shared" si="59"/>
        <v>-10347403.643080924</v>
      </c>
      <c r="K185" s="52">
        <f t="shared" si="59"/>
        <v>-10914476.5480243</v>
      </c>
      <c r="L185" s="52">
        <f t="shared" si="59"/>
        <v>-11076684.973316925</v>
      </c>
      <c r="M185" s="52">
        <f t="shared" si="59"/>
        <v>0</v>
      </c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</row>
    <row r="186" spans="2:31" outlineLevel="1" x14ac:dyDescent="0.25"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</row>
    <row r="187" spans="2:31" outlineLevel="1" x14ac:dyDescent="0.25">
      <c r="C187" s="38" t="s">
        <v>163</v>
      </c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</row>
    <row r="188" spans="2:31" outlineLevel="1" x14ac:dyDescent="0.25">
      <c r="C188" s="132" t="s">
        <v>159</v>
      </c>
      <c r="D188" s="131"/>
      <c r="E188" s="131"/>
      <c r="F188" s="133"/>
      <c r="G188" s="133">
        <f>+F191</f>
        <v>-13501692.308702093</v>
      </c>
      <c r="H188" s="133">
        <f t="shared" ref="H188:M188" si="60">+G191</f>
        <v>-15176905.047369804</v>
      </c>
      <c r="I188" s="133">
        <f t="shared" si="60"/>
        <v>-15870610.137209678</v>
      </c>
      <c r="J188" s="133">
        <f t="shared" si="60"/>
        <v>-16344737.463324748</v>
      </c>
      <c r="K188" s="133">
        <f t="shared" si="60"/>
        <v>-9312663.2787728272</v>
      </c>
      <c r="L188" s="133">
        <f t="shared" si="60"/>
        <v>-9823028.8932218663</v>
      </c>
      <c r="M188" s="133">
        <f t="shared" si="60"/>
        <v>-9969016.4759852272</v>
      </c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</row>
    <row r="189" spans="2:31" outlineLevel="1" x14ac:dyDescent="0.25">
      <c r="C189" s="132" t="s">
        <v>160</v>
      </c>
      <c r="D189" s="134">
        <f>+IRR_Hurdle_1</f>
        <v>0.1</v>
      </c>
      <c r="E189" s="131"/>
      <c r="F189" s="133"/>
      <c r="G189" s="133">
        <f>+G188*$D189</f>
        <v>-1350169.2308702094</v>
      </c>
      <c r="H189" s="133">
        <f>+H188*$D189</f>
        <v>-1517690.5047369804</v>
      </c>
      <c r="I189" s="133">
        <f t="shared" ref="I189" si="61">+I188*$D189</f>
        <v>-1587061.0137209678</v>
      </c>
      <c r="J189" s="133">
        <f t="shared" ref="J189" si="62">+J188*$D189</f>
        <v>-1634473.746332475</v>
      </c>
      <c r="K189" s="133">
        <f t="shared" ref="K189" si="63">+K188*$D189</f>
        <v>-931266.32787728275</v>
      </c>
      <c r="L189" s="133">
        <f t="shared" ref="L189" si="64">+L188*$D189</f>
        <v>-982302.8893221867</v>
      </c>
      <c r="M189" s="133">
        <f t="shared" ref="M189" si="65">+M188*$D189</f>
        <v>-996901.64759852272</v>
      </c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</row>
    <row r="190" spans="2:31" outlineLevel="1" x14ac:dyDescent="0.25">
      <c r="C190" s="138" t="s">
        <v>161</v>
      </c>
      <c r="D190" s="139">
        <f>1-Dev_Equity_Pct</f>
        <v>0.9</v>
      </c>
      <c r="E190" s="136"/>
      <c r="F190" s="133"/>
      <c r="G190" s="133">
        <f>MIN(G$168*$D190,-SUM(G188:G189))</f>
        <v>-325043.50779750256</v>
      </c>
      <c r="H190" s="133">
        <f t="shared" ref="H190" si="66">MIN(H$168*$D190,-SUM(H188:H189))</f>
        <v>823985.41489710601</v>
      </c>
      <c r="I190" s="133">
        <f t="shared" ref="I190" si="67">MIN(I$168*$D190,-SUM(I188:I189))</f>
        <v>1112933.6876058981</v>
      </c>
      <c r="J190" s="133">
        <f t="shared" ref="J190" si="68">MIN(J$168*$D190,-SUM(J188:J189))</f>
        <v>8666547.9308843948</v>
      </c>
      <c r="K190" s="133">
        <f t="shared" ref="K190" si="69">MIN(K$168*$D190,-SUM(K188:K189))</f>
        <v>420900.71342824493</v>
      </c>
      <c r="L190" s="133">
        <f t="shared" ref="L190" si="70">MIN(L$168*$D190,-SUM(L188:L189))</f>
        <v>836315.30655882508</v>
      </c>
      <c r="M190" s="133">
        <f t="shared" ref="M190" si="71">MIN(M$168*$D190,-SUM(M188:M189))</f>
        <v>10965918.123583749</v>
      </c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</row>
    <row r="191" spans="2:31" outlineLevel="1" x14ac:dyDescent="0.25">
      <c r="C191" s="96" t="s">
        <v>162</v>
      </c>
      <c r="D191" s="131"/>
      <c r="E191" s="131"/>
      <c r="F191" s="52">
        <f>-E$44+SUM($F$159:$F$161)*D190</f>
        <v>-13501692.308702093</v>
      </c>
      <c r="G191" s="52">
        <f>SUM(G188:G190)</f>
        <v>-15176905.047369804</v>
      </c>
      <c r="H191" s="52">
        <f>SUM(H188:H190)</f>
        <v>-15870610.137209678</v>
      </c>
      <c r="I191" s="52">
        <f t="shared" ref="I191" si="72">SUM(I188:I190)</f>
        <v>-16344737.463324748</v>
      </c>
      <c r="J191" s="52">
        <f t="shared" ref="J191" si="73">SUM(J188:J190)</f>
        <v>-9312663.2787728272</v>
      </c>
      <c r="K191" s="52">
        <f t="shared" ref="K191" si="74">SUM(K188:K190)</f>
        <v>-9823028.8932218663</v>
      </c>
      <c r="L191" s="52">
        <f t="shared" ref="L191" si="75">SUM(L188:L190)</f>
        <v>-9969016.4759852272</v>
      </c>
      <c r="M191" s="52">
        <f t="shared" ref="M191" si="76">SUM(M188:M190)</f>
        <v>0</v>
      </c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</row>
    <row r="192" spans="2:31" outlineLevel="1" x14ac:dyDescent="0.25"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</row>
    <row r="193" spans="3:31" outlineLevel="1" x14ac:dyDescent="0.25">
      <c r="C193" s="38" t="s">
        <v>166</v>
      </c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</row>
    <row r="194" spans="3:31" outlineLevel="1" x14ac:dyDescent="0.25">
      <c r="C194" s="132" t="s">
        <v>159</v>
      </c>
      <c r="D194" s="131"/>
      <c r="E194" s="131"/>
      <c r="F194" s="131"/>
      <c r="G194" s="133">
        <f>+F197</f>
        <v>-1500188.0343002325</v>
      </c>
      <c r="H194" s="133">
        <f t="shared" ref="H194:M194" si="77">+G197</f>
        <v>-1686322.7830410895</v>
      </c>
      <c r="I194" s="133">
        <f t="shared" si="77"/>
        <v>-1763401.1263566311</v>
      </c>
      <c r="J194" s="133">
        <f t="shared" si="77"/>
        <v>-1816081.9403694167</v>
      </c>
      <c r="K194" s="133">
        <f t="shared" si="77"/>
        <v>-1034740.3643080924</v>
      </c>
      <c r="L194" s="133">
        <f t="shared" si="77"/>
        <v>-1091447.65480243</v>
      </c>
      <c r="M194" s="133">
        <f t="shared" si="77"/>
        <v>-1107668.4973316924</v>
      </c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</row>
    <row r="195" spans="3:31" outlineLevel="1" x14ac:dyDescent="0.25">
      <c r="C195" s="132" t="s">
        <v>160</v>
      </c>
      <c r="D195" s="134">
        <f>+IRR_Hurdle_1</f>
        <v>0.1</v>
      </c>
      <c r="E195" s="131"/>
      <c r="F195" s="131"/>
      <c r="G195" s="133">
        <f>+G194*$D195</f>
        <v>-150018.80343002325</v>
      </c>
      <c r="H195" s="133">
        <f>+H194*$D195</f>
        <v>-168632.27830410897</v>
      </c>
      <c r="I195" s="133">
        <f t="shared" ref="I195" si="78">+I194*$D195</f>
        <v>-176340.11263566313</v>
      </c>
      <c r="J195" s="133">
        <f t="shared" ref="J195" si="79">+J194*$D195</f>
        <v>-181608.19403694168</v>
      </c>
      <c r="K195" s="133">
        <f t="shared" ref="K195" si="80">+K194*$D195</f>
        <v>-103474.03643080924</v>
      </c>
      <c r="L195" s="133">
        <f t="shared" ref="L195" si="81">+L194*$D195</f>
        <v>-109144.765480243</v>
      </c>
      <c r="M195" s="133">
        <f t="shared" ref="M195" si="82">+M194*$D195</f>
        <v>-110766.84973316925</v>
      </c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</row>
    <row r="196" spans="3:31" outlineLevel="1" x14ac:dyDescent="0.25">
      <c r="C196" s="138" t="s">
        <v>161</v>
      </c>
      <c r="D196" s="139">
        <f>Dev_Equity_Pct</f>
        <v>0.1</v>
      </c>
      <c r="E196" s="136"/>
      <c r="F196" s="136"/>
      <c r="G196" s="133">
        <f>MIN(G$168*$D196,-SUM(G194:G195))</f>
        <v>-36115.945310833624</v>
      </c>
      <c r="H196" s="133">
        <f t="shared" ref="H196" si="83">MIN(H$168*$D196,-SUM(H194:H195))</f>
        <v>91553.934988567329</v>
      </c>
      <c r="I196" s="133">
        <f t="shared" ref="I196" si="84">MIN(I$168*$D196,-SUM(I194:I195))</f>
        <v>123659.29862287757</v>
      </c>
      <c r="J196" s="133">
        <f t="shared" ref="J196" si="85">MIN(J$168*$D196,-SUM(J194:J195))</f>
        <v>962949.77009826608</v>
      </c>
      <c r="K196" s="133">
        <f t="shared" ref="K196" si="86">MIN(K$168*$D196,-SUM(K194:K195))</f>
        <v>46766.745936471656</v>
      </c>
      <c r="L196" s="133">
        <f t="shared" ref="L196" si="87">MIN(L$168*$D196,-SUM(L194:L195))</f>
        <v>92923.922950980559</v>
      </c>
      <c r="M196" s="133">
        <f t="shared" ref="M196" si="88">MIN(M$168*$D196,-SUM(M194:M195))</f>
        <v>1218435.3470648616</v>
      </c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</row>
    <row r="197" spans="3:31" outlineLevel="1" x14ac:dyDescent="0.25">
      <c r="C197" s="96" t="s">
        <v>162</v>
      </c>
      <c r="D197" s="131"/>
      <c r="E197" s="131"/>
      <c r="F197" s="140">
        <f>-E$43+SUM($F$159:$F$161)*D196</f>
        <v>-1500188.0343002325</v>
      </c>
      <c r="G197" s="52">
        <f>SUM(G194:G196)</f>
        <v>-1686322.7830410895</v>
      </c>
      <c r="H197" s="52">
        <f>SUM(H194:H196)</f>
        <v>-1763401.1263566311</v>
      </c>
      <c r="I197" s="52">
        <f t="shared" ref="I197" si="89">SUM(I194:I196)</f>
        <v>-1816081.9403694167</v>
      </c>
      <c r="J197" s="52">
        <f t="shared" ref="J197" si="90">SUM(J194:J196)</f>
        <v>-1034740.3643080924</v>
      </c>
      <c r="K197" s="52">
        <f t="shared" ref="K197" si="91">SUM(K194:K196)</f>
        <v>-1091447.65480243</v>
      </c>
      <c r="L197" s="52">
        <f t="shared" ref="L197" si="92">SUM(L194:L196)</f>
        <v>-1107668.4973316924</v>
      </c>
      <c r="M197" s="52">
        <f t="shared" ref="M197" si="93">SUM(M194:M196)</f>
        <v>0</v>
      </c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</row>
    <row r="198" spans="3:31" outlineLevel="1" x14ac:dyDescent="0.25"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</row>
    <row r="199" spans="3:31" outlineLevel="1" x14ac:dyDescent="0.25">
      <c r="C199" s="4" t="s">
        <v>164</v>
      </c>
      <c r="D199" s="62"/>
      <c r="E199" s="131"/>
      <c r="F199" s="131"/>
      <c r="G199" s="140">
        <f>+G$168-G184</f>
        <v>0</v>
      </c>
      <c r="H199" s="140">
        <f t="shared" ref="H199:M199" si="94">+H$168-H184</f>
        <v>0</v>
      </c>
      <c r="I199" s="140">
        <f t="shared" si="94"/>
        <v>0</v>
      </c>
      <c r="J199" s="140">
        <f t="shared" si="94"/>
        <v>0</v>
      </c>
      <c r="K199" s="140">
        <f t="shared" si="94"/>
        <v>0</v>
      </c>
      <c r="L199" s="140">
        <f t="shared" si="94"/>
        <v>0</v>
      </c>
      <c r="M199" s="140">
        <f t="shared" si="94"/>
        <v>19778815.09781817</v>
      </c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</row>
    <row r="200" spans="3:31" outlineLevel="1" x14ac:dyDescent="0.25"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</row>
    <row r="201" spans="3:31" outlineLevel="1" x14ac:dyDescent="0.25">
      <c r="C201" s="127" t="str">
        <f>"Tier 2 IRR - Up to "&amp;TEXT(IRR_Hurdle_2,"0.0%")&amp;":"</f>
        <v>Tier 2 IRR - Up to 20.0%:</v>
      </c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</row>
    <row r="202" spans="3:31" outlineLevel="1" x14ac:dyDescent="0.25">
      <c r="C202" s="129" t="s">
        <v>158</v>
      </c>
      <c r="D202" s="130"/>
      <c r="E202" s="130"/>
      <c r="F202" s="131"/>
      <c r="G202" s="130"/>
      <c r="H202" s="130"/>
      <c r="I202" s="130"/>
      <c r="J202" s="130"/>
      <c r="K202" s="130"/>
      <c r="L202" s="130"/>
      <c r="M202" s="130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</row>
    <row r="203" spans="3:31" outlineLevel="1" x14ac:dyDescent="0.25">
      <c r="C203" s="132" t="s">
        <v>159</v>
      </c>
      <c r="D203" s="131"/>
      <c r="E203" s="131"/>
      <c r="F203" s="131"/>
      <c r="G203" s="133">
        <f>+F206</f>
        <v>-15001880.343002325</v>
      </c>
      <c r="H203" s="133">
        <f t="shared" ref="H203:M203" si="95">+G206</f>
        <v>-18363415.864711128</v>
      </c>
      <c r="I203" s="133">
        <f t="shared" si="95"/>
        <v>-21120559.687767681</v>
      </c>
      <c r="J203" s="133">
        <f t="shared" si="95"/>
        <v>-24108078.639092442</v>
      </c>
      <c r="K203" s="133">
        <f t="shared" si="95"/>
        <v>-19300196.665928271</v>
      </c>
      <c r="L203" s="133">
        <f t="shared" si="95"/>
        <v>-22692568.539749209</v>
      </c>
      <c r="M203" s="133">
        <f t="shared" si="95"/>
        <v>-26301843.018189248</v>
      </c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</row>
    <row r="204" spans="3:31" outlineLevel="1" x14ac:dyDescent="0.25">
      <c r="C204" s="132" t="s">
        <v>160</v>
      </c>
      <c r="D204" s="134">
        <f>IRR_Hurdle_2</f>
        <v>0.2</v>
      </c>
      <c r="E204" s="131"/>
      <c r="F204" s="131"/>
      <c r="G204" s="133">
        <f>+G203*$D204</f>
        <v>-3000376.0686004651</v>
      </c>
      <c r="H204" s="133">
        <f>+H203*$D204</f>
        <v>-3672683.1729422258</v>
      </c>
      <c r="I204" s="133">
        <f t="shared" ref="I204" si="96">+I203*$D204</f>
        <v>-4224111.9375535361</v>
      </c>
      <c r="J204" s="133">
        <f t="shared" ref="J204" si="97">+J203*$D204</f>
        <v>-4821615.7278184881</v>
      </c>
      <c r="K204" s="133">
        <f t="shared" ref="K204" si="98">+K203*$D204</f>
        <v>-3860039.3331856541</v>
      </c>
      <c r="L204" s="133">
        <f t="shared" ref="L204" si="99">+L203*$D204</f>
        <v>-4538513.7079498423</v>
      </c>
      <c r="M204" s="133">
        <f t="shared" ref="M204" si="100">+M203*$D204</f>
        <v>-5260368.6036378499</v>
      </c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</row>
    <row r="205" spans="3:31" outlineLevel="1" x14ac:dyDescent="0.25">
      <c r="C205" s="132" t="s">
        <v>161</v>
      </c>
      <c r="D205" s="17">
        <v>1</v>
      </c>
      <c r="E205" s="135"/>
      <c r="F205" s="136"/>
      <c r="G205" s="133">
        <f>MIN(G$168*$D205,-SUM(G203:G204))</f>
        <v>-361159.45310833619</v>
      </c>
      <c r="H205" s="133">
        <f t="shared" ref="H205" si="101">MIN(H$168*$D205,-SUM(H203:H204))</f>
        <v>915539.34988567326</v>
      </c>
      <c r="I205" s="133">
        <f t="shared" ref="I205" si="102">MIN(I$168*$D205,-SUM(I203:I204))</f>
        <v>1236592.9862287757</v>
      </c>
      <c r="J205" s="133">
        <f t="shared" ref="J205" si="103">MIN(J$168*$D205,-SUM(J203:J204))</f>
        <v>9629497.7009826601</v>
      </c>
      <c r="K205" s="133">
        <f t="shared" ref="K205" si="104">MIN(K$168*$D205,-SUM(K203:K204))</f>
        <v>467667.45936471655</v>
      </c>
      <c r="L205" s="133">
        <f t="shared" ref="L205" si="105">MIN(L$168*$D205,-SUM(L203:L204))</f>
        <v>929239.22950980556</v>
      </c>
      <c r="M205" s="133">
        <f t="shared" ref="M205" si="106">MIN(M$168*$D205,-SUM(M203:M204))</f>
        <v>31562211.621827096</v>
      </c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</row>
    <row r="206" spans="3:31" outlineLevel="1" x14ac:dyDescent="0.25">
      <c r="C206" s="39" t="s">
        <v>162</v>
      </c>
      <c r="D206" s="137"/>
      <c r="E206" s="131"/>
      <c r="F206" s="52">
        <f>F185</f>
        <v>-15001880.343002325</v>
      </c>
      <c r="G206" s="52">
        <f>SUM(G203:G205)</f>
        <v>-18363415.864711128</v>
      </c>
      <c r="H206" s="52">
        <f>SUM(H203:H205)</f>
        <v>-21120559.687767681</v>
      </c>
      <c r="I206" s="52">
        <f t="shared" ref="I206" si="107">SUM(I203:I205)</f>
        <v>-24108078.639092442</v>
      </c>
      <c r="J206" s="52">
        <f t="shared" ref="J206" si="108">SUM(J203:J205)</f>
        <v>-19300196.665928271</v>
      </c>
      <c r="K206" s="52">
        <f t="shared" ref="K206" si="109">SUM(K203:K205)</f>
        <v>-22692568.539749209</v>
      </c>
      <c r="L206" s="52">
        <f t="shared" ref="L206" si="110">SUM(L203:L205)</f>
        <v>-26301843.018189248</v>
      </c>
      <c r="M206" s="52">
        <f t="shared" ref="M206" si="111">SUM(M203:M205)</f>
        <v>0</v>
      </c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</row>
    <row r="207" spans="3:31" outlineLevel="1" x14ac:dyDescent="0.25"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</row>
    <row r="208" spans="3:31" outlineLevel="1" x14ac:dyDescent="0.25">
      <c r="C208" s="38" t="s">
        <v>163</v>
      </c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</row>
    <row r="209" spans="3:31" outlineLevel="1" x14ac:dyDescent="0.25">
      <c r="C209" s="132" t="s">
        <v>159</v>
      </c>
      <c r="D209" s="131"/>
      <c r="E209" s="131"/>
      <c r="F209" s="133"/>
      <c r="G209" s="133">
        <f>+F212</f>
        <v>-13501692.308702093</v>
      </c>
      <c r="H209" s="133">
        <f t="shared" ref="H209:M209" si="112">+G212</f>
        <v>-16490958.332929181</v>
      </c>
      <c r="I209" s="133">
        <f t="shared" si="112"/>
        <v>-19056718.519606482</v>
      </c>
      <c r="J209" s="133">
        <f t="shared" si="112"/>
        <v>-21878787.834544756</v>
      </c>
      <c r="K209" s="133">
        <f t="shared" si="112"/>
        <v>-18550947.240667578</v>
      </c>
      <c r="L209" s="133">
        <f t="shared" si="112"/>
        <v>-21887002.721309323</v>
      </c>
      <c r="M209" s="133">
        <f t="shared" si="112"/>
        <v>-25521011.881963342</v>
      </c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</row>
    <row r="210" spans="3:31" outlineLevel="1" x14ac:dyDescent="0.25">
      <c r="C210" s="132" t="s">
        <v>160</v>
      </c>
      <c r="D210" s="134">
        <f>IRR_Hurdle_2</f>
        <v>0.2</v>
      </c>
      <c r="E210" s="131"/>
      <c r="F210" s="133"/>
      <c r="G210" s="133">
        <f>+G209*$D210</f>
        <v>-2700338.4617404188</v>
      </c>
      <c r="H210" s="133">
        <f>+H209*$D210</f>
        <v>-3298191.6665858366</v>
      </c>
      <c r="I210" s="133">
        <f t="shared" ref="I210" si="113">+I209*$D210</f>
        <v>-3811343.7039212966</v>
      </c>
      <c r="J210" s="133">
        <f t="shared" ref="J210" si="114">+J209*$D210</f>
        <v>-4375757.5669089509</v>
      </c>
      <c r="K210" s="133">
        <f t="shared" ref="K210" si="115">+K209*$D210</f>
        <v>-3710189.4481335157</v>
      </c>
      <c r="L210" s="133">
        <f t="shared" ref="L210" si="116">+L209*$D210</f>
        <v>-4377400.5442618644</v>
      </c>
      <c r="M210" s="133">
        <f t="shared" ref="M210" si="117">+M209*$D210</f>
        <v>-5104202.376392669</v>
      </c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</row>
    <row r="211" spans="3:31" outlineLevel="1" x14ac:dyDescent="0.25">
      <c r="C211" s="138" t="s">
        <v>161</v>
      </c>
      <c r="D211" s="139">
        <f>1-Dev_Cash_Flow_Pct_Above_Hurdle_1</f>
        <v>0.8</v>
      </c>
      <c r="E211" s="136"/>
      <c r="F211" s="133"/>
      <c r="G211" s="133">
        <f>MIN(G$168*$D211,-SUM(G209:G210))</f>
        <v>-288927.56248666899</v>
      </c>
      <c r="H211" s="133">
        <f t="shared" ref="H211" si="118">MIN(H$168*$D211,-SUM(H209:H210))</f>
        <v>732431.47990853863</v>
      </c>
      <c r="I211" s="133">
        <f t="shared" ref="I211" si="119">MIN(I$168*$D211,-SUM(I209:I210))</f>
        <v>989274.38898302056</v>
      </c>
      <c r="J211" s="133">
        <f t="shared" ref="J211" si="120">MIN(J$168*$D211,-SUM(J209:J210))</f>
        <v>7703598.1607861286</v>
      </c>
      <c r="K211" s="133">
        <f t="shared" ref="K211" si="121">MIN(K$168*$D211,-SUM(K209:K210))</f>
        <v>374133.96749177325</v>
      </c>
      <c r="L211" s="133">
        <f t="shared" ref="L211" si="122">MIN(L$168*$D211,-SUM(L209:L210))</f>
        <v>743391.38360784447</v>
      </c>
      <c r="M211" s="133">
        <f t="shared" ref="M211" si="123">MIN(M$168*$D211,-SUM(M209:M210))</f>
        <v>25570534.854773432</v>
      </c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</row>
    <row r="212" spans="3:31" outlineLevel="1" x14ac:dyDescent="0.25">
      <c r="C212" s="96" t="s">
        <v>162</v>
      </c>
      <c r="D212" s="131"/>
      <c r="E212" s="131"/>
      <c r="F212" s="52">
        <f>F191</f>
        <v>-13501692.308702093</v>
      </c>
      <c r="G212" s="52">
        <f>SUM(G209:G211)</f>
        <v>-16490958.332929181</v>
      </c>
      <c r="H212" s="52">
        <f>SUM(H209:H211)</f>
        <v>-19056718.519606482</v>
      </c>
      <c r="I212" s="52">
        <f t="shared" ref="I212" si="124">SUM(I209:I211)</f>
        <v>-21878787.834544756</v>
      </c>
      <c r="J212" s="52">
        <f t="shared" ref="J212" si="125">SUM(J209:J211)</f>
        <v>-18550947.240667578</v>
      </c>
      <c r="K212" s="52">
        <f t="shared" ref="K212" si="126">SUM(K209:K211)</f>
        <v>-21887002.721309323</v>
      </c>
      <c r="L212" s="52">
        <f t="shared" ref="L212" si="127">SUM(L209:L211)</f>
        <v>-25521011.881963342</v>
      </c>
      <c r="M212" s="52">
        <f t="shared" ref="M212" si="128">SUM(M209:M211)</f>
        <v>-5054679.4035825804</v>
      </c>
      <c r="P212" s="186"/>
      <c r="Q212" s="187"/>
      <c r="R212" s="187"/>
      <c r="S212" s="187"/>
      <c r="T212" s="187"/>
      <c r="U212" s="187"/>
      <c r="V212" s="187"/>
      <c r="W212" s="187"/>
      <c r="X212" s="187"/>
      <c r="Y212" s="187"/>
      <c r="Z212" s="188"/>
      <c r="AA212" s="188"/>
      <c r="AB212" s="188"/>
      <c r="AC212" s="188"/>
      <c r="AD212" s="188"/>
      <c r="AE212" s="188"/>
    </row>
    <row r="213" spans="3:31" outlineLevel="1" x14ac:dyDescent="0.25"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</row>
    <row r="214" spans="3:31" outlineLevel="1" x14ac:dyDescent="0.25">
      <c r="C214" s="38" t="s">
        <v>166</v>
      </c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</row>
    <row r="215" spans="3:31" outlineLevel="1" x14ac:dyDescent="0.25">
      <c r="C215" s="132" t="s">
        <v>159</v>
      </c>
      <c r="D215" s="131"/>
      <c r="E215" s="131"/>
      <c r="F215" s="131"/>
      <c r="G215" s="133">
        <f>+F218</f>
        <v>-1500188.0343002325</v>
      </c>
      <c r="H215" s="133">
        <f t="shared" ref="H215:M215" si="129">+G218</f>
        <v>-1872457.5317819463</v>
      </c>
      <c r="I215" s="133">
        <f t="shared" si="129"/>
        <v>-2063841.1681612008</v>
      </c>
      <c r="J215" s="133">
        <f t="shared" si="129"/>
        <v>-2229290.8045476857</v>
      </c>
      <c r="K215" s="133">
        <f t="shared" si="129"/>
        <v>-749249.42526069074</v>
      </c>
      <c r="L215" s="133">
        <f t="shared" si="129"/>
        <v>-805565.81843988551</v>
      </c>
      <c r="M215" s="133">
        <f t="shared" si="129"/>
        <v>-780831.13622590154</v>
      </c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</row>
    <row r="216" spans="3:31" outlineLevel="1" x14ac:dyDescent="0.25">
      <c r="C216" s="132" t="s">
        <v>160</v>
      </c>
      <c r="D216" s="134">
        <f>IRR_Hurdle_2</f>
        <v>0.2</v>
      </c>
      <c r="E216" s="131"/>
      <c r="F216" s="131"/>
      <c r="G216" s="133">
        <f>+G215*$D216</f>
        <v>-300037.60686004651</v>
      </c>
      <c r="H216" s="133">
        <f>+H215*$D216</f>
        <v>-374491.50635638926</v>
      </c>
      <c r="I216" s="133">
        <f t="shared" ref="I216" si="130">+I215*$D216</f>
        <v>-412768.23363224021</v>
      </c>
      <c r="J216" s="133">
        <f t="shared" ref="J216" si="131">+J215*$D216</f>
        <v>-445858.16090953717</v>
      </c>
      <c r="K216" s="133">
        <f t="shared" ref="K216" si="132">+K215*$D216</f>
        <v>-149849.88505213815</v>
      </c>
      <c r="L216" s="133">
        <f t="shared" ref="L216" si="133">+L215*$D216</f>
        <v>-161113.16368797712</v>
      </c>
      <c r="M216" s="133">
        <f t="shared" ref="M216" si="134">+M215*$D216</f>
        <v>-156166.22724518031</v>
      </c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</row>
    <row r="217" spans="3:31" outlineLevel="1" x14ac:dyDescent="0.25">
      <c r="C217" s="138" t="s">
        <v>161</v>
      </c>
      <c r="D217" s="139">
        <f>Dev_Cash_Flow_Pct_Above_Hurdle_1</f>
        <v>0.2</v>
      </c>
      <c r="E217" s="136"/>
      <c r="F217" s="136"/>
      <c r="G217" s="133">
        <f>MIN(G$168*$D217,-SUM(G215:G216))</f>
        <v>-72231.890621667248</v>
      </c>
      <c r="H217" s="133">
        <f t="shared" ref="H217" si="135">MIN(H$168*$D217,-SUM(H215:H216))</f>
        <v>183107.86997713466</v>
      </c>
      <c r="I217" s="133">
        <f t="shared" ref="I217" si="136">MIN(I$168*$D217,-SUM(I215:I216))</f>
        <v>247318.59724575514</v>
      </c>
      <c r="J217" s="133">
        <f t="shared" ref="J217" si="137">MIN(J$168*$D217,-SUM(J215:J216))</f>
        <v>1925899.5401965322</v>
      </c>
      <c r="K217" s="133">
        <f t="shared" ref="K217" si="138">MIN(K$168*$D217,-SUM(K215:K216))</f>
        <v>93533.491872943312</v>
      </c>
      <c r="L217" s="133">
        <f t="shared" ref="L217" si="139">MIN(L$168*$D217,-SUM(L215:L216))</f>
        <v>185847.84590196112</v>
      </c>
      <c r="M217" s="133">
        <f t="shared" ref="M217" si="140">MIN(M$168*$D217,-SUM(M215:M216))</f>
        <v>936997.36347108183</v>
      </c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</row>
    <row r="218" spans="3:31" outlineLevel="1" x14ac:dyDescent="0.25">
      <c r="C218" s="96" t="s">
        <v>162</v>
      </c>
      <c r="D218" s="131"/>
      <c r="E218" s="131"/>
      <c r="F218" s="140">
        <f>F197</f>
        <v>-1500188.0343002325</v>
      </c>
      <c r="G218" s="52">
        <f>SUM(G215:G217)</f>
        <v>-1872457.5317819463</v>
      </c>
      <c r="H218" s="52">
        <f>SUM(H215:H217)</f>
        <v>-2063841.1681612008</v>
      </c>
      <c r="I218" s="52">
        <f t="shared" ref="I218" si="141">SUM(I215:I217)</f>
        <v>-2229290.8045476857</v>
      </c>
      <c r="J218" s="52">
        <f t="shared" ref="J218" si="142">SUM(J215:J217)</f>
        <v>-749249.42526069074</v>
      </c>
      <c r="K218" s="52">
        <f t="shared" ref="K218" si="143">SUM(K215:K217)</f>
        <v>-805565.81843988551</v>
      </c>
      <c r="L218" s="52">
        <f t="shared" ref="L218" si="144">SUM(L215:L217)</f>
        <v>-780831.13622590154</v>
      </c>
      <c r="M218" s="52">
        <f t="shared" ref="M218" si="145">SUM(M215:M217)</f>
        <v>0</v>
      </c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</row>
    <row r="219" spans="3:31" outlineLevel="1" x14ac:dyDescent="0.25"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</row>
    <row r="220" spans="3:31" outlineLevel="1" x14ac:dyDescent="0.25">
      <c r="C220" s="4" t="s">
        <v>169</v>
      </c>
      <c r="D220" s="62"/>
      <c r="E220" s="131"/>
      <c r="F220" s="131"/>
      <c r="G220" s="140">
        <f>+G$168-G205</f>
        <v>0</v>
      </c>
      <c r="H220" s="140">
        <f t="shared" ref="H220:M220" si="146">+H$168-H205</f>
        <v>0</v>
      </c>
      <c r="I220" s="140">
        <f t="shared" si="146"/>
        <v>0</v>
      </c>
      <c r="J220" s="140">
        <f t="shared" si="146"/>
        <v>0</v>
      </c>
      <c r="K220" s="140">
        <f t="shared" si="146"/>
        <v>0</v>
      </c>
      <c r="L220" s="140">
        <f t="shared" si="146"/>
        <v>0</v>
      </c>
      <c r="M220" s="140">
        <f t="shared" si="146"/>
        <v>400956.94663969055</v>
      </c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</row>
    <row r="221" spans="3:31" outlineLevel="1" x14ac:dyDescent="0.25"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</row>
    <row r="222" spans="3:31" outlineLevel="1" x14ac:dyDescent="0.25">
      <c r="C222" s="127" t="s">
        <v>167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</row>
    <row r="223" spans="3:31" outlineLevel="1" x14ac:dyDescent="0.25"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</row>
    <row r="224" spans="3:31" outlineLevel="1" x14ac:dyDescent="0.25">
      <c r="C224" s="4" t="str">
        <f>+C180</f>
        <v>Tier 1 IRR - Up to 10.0%:</v>
      </c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</row>
    <row r="225" spans="3:31" outlineLevel="1" x14ac:dyDescent="0.25">
      <c r="C225" s="25" t="s">
        <v>163</v>
      </c>
      <c r="D225" s="134">
        <f>1-Dev_Equity_Pct</f>
        <v>0.9</v>
      </c>
      <c r="G225" s="124">
        <f>+G190</f>
        <v>-325043.50779750256</v>
      </c>
      <c r="H225" s="124">
        <f t="shared" ref="H225:M225" si="147">+H190</f>
        <v>823985.41489710601</v>
      </c>
      <c r="I225" s="124">
        <f t="shared" si="147"/>
        <v>1112933.6876058981</v>
      </c>
      <c r="J225" s="124">
        <f t="shared" si="147"/>
        <v>8666547.9308843948</v>
      </c>
      <c r="K225" s="124">
        <f t="shared" si="147"/>
        <v>420900.71342824493</v>
      </c>
      <c r="L225" s="124">
        <f t="shared" si="147"/>
        <v>836315.30655882508</v>
      </c>
      <c r="M225" s="124">
        <f t="shared" si="147"/>
        <v>10965918.123583749</v>
      </c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</row>
    <row r="226" spans="3:31" outlineLevel="1" x14ac:dyDescent="0.25">
      <c r="C226" s="25" t="s">
        <v>168</v>
      </c>
      <c r="D226" s="134">
        <f>Dev_Equity_Pct</f>
        <v>0.1</v>
      </c>
      <c r="G226" s="124">
        <f>+G196</f>
        <v>-36115.945310833624</v>
      </c>
      <c r="H226" s="124">
        <f t="shared" ref="H226:M226" si="148">+H196</f>
        <v>91553.934988567329</v>
      </c>
      <c r="I226" s="124">
        <f t="shared" si="148"/>
        <v>123659.29862287757</v>
      </c>
      <c r="J226" s="124">
        <f t="shared" si="148"/>
        <v>962949.77009826608</v>
      </c>
      <c r="K226" s="124">
        <f t="shared" si="148"/>
        <v>46766.745936471656</v>
      </c>
      <c r="L226" s="124">
        <f t="shared" si="148"/>
        <v>92923.922950980559</v>
      </c>
      <c r="M226" s="124">
        <f t="shared" si="148"/>
        <v>1218435.3470648616</v>
      </c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</row>
    <row r="227" spans="3:31" outlineLevel="1" x14ac:dyDescent="0.25"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</row>
    <row r="228" spans="3:31" outlineLevel="1" x14ac:dyDescent="0.25">
      <c r="C228" s="4" t="str">
        <f>+C201</f>
        <v>Tier 2 IRR - Up to 20.0%:</v>
      </c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</row>
    <row r="229" spans="3:31" outlineLevel="1" x14ac:dyDescent="0.25">
      <c r="C229" s="25" t="s">
        <v>163</v>
      </c>
      <c r="D229" s="134">
        <f>1-Dev_Cash_Flow_Pct_Above_Hurdle_1</f>
        <v>0.8</v>
      </c>
      <c r="G229" s="124">
        <f>(G199-G220)*$D229</f>
        <v>0</v>
      </c>
      <c r="H229" s="124">
        <f t="shared" ref="H229:M229" si="149">(H199-H220)*$D229</f>
        <v>0</v>
      </c>
      <c r="I229" s="124">
        <f t="shared" si="149"/>
        <v>0</v>
      </c>
      <c r="J229" s="124">
        <f t="shared" si="149"/>
        <v>0</v>
      </c>
      <c r="K229" s="124">
        <f t="shared" si="149"/>
        <v>0</v>
      </c>
      <c r="L229" s="124">
        <f t="shared" si="149"/>
        <v>0</v>
      </c>
      <c r="M229" s="124">
        <f t="shared" si="149"/>
        <v>15502286.520942785</v>
      </c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</row>
    <row r="230" spans="3:31" outlineLevel="1" x14ac:dyDescent="0.25">
      <c r="C230" s="25" t="s">
        <v>168</v>
      </c>
      <c r="D230" s="134">
        <f>Dev_Cash_Flow_Pct_Above_Hurdle_1</f>
        <v>0.2</v>
      </c>
      <c r="G230" s="124">
        <f>(G199-G220)*$D230</f>
        <v>0</v>
      </c>
      <c r="H230" s="124">
        <f t="shared" ref="H230:M230" si="150">(H199-H220)*$D230</f>
        <v>0</v>
      </c>
      <c r="I230" s="124">
        <f t="shared" si="150"/>
        <v>0</v>
      </c>
      <c r="J230" s="124">
        <f t="shared" si="150"/>
        <v>0</v>
      </c>
      <c r="K230" s="124">
        <f t="shared" si="150"/>
        <v>0</v>
      </c>
      <c r="L230" s="124">
        <f t="shared" si="150"/>
        <v>0</v>
      </c>
      <c r="M230" s="124">
        <f t="shared" si="150"/>
        <v>3875571.6302356962</v>
      </c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</row>
    <row r="231" spans="3:31" outlineLevel="1" x14ac:dyDescent="0.25"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</row>
    <row r="232" spans="3:31" outlineLevel="1" x14ac:dyDescent="0.25">
      <c r="C232" s="4" t="str">
        <f>"Tier 3 IRR - "&amp;TEXT(IRR_Hurdle_2,"0.0%")&amp;" or Above:"</f>
        <v>Tier 3 IRR - 20.0% or Above:</v>
      </c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</row>
    <row r="233" spans="3:31" outlineLevel="1" x14ac:dyDescent="0.25">
      <c r="C233" s="25" t="s">
        <v>163</v>
      </c>
      <c r="D233" s="146">
        <f>1-Dev_Cash_Flow_Pct_Above_Hurdle_2</f>
        <v>0.7</v>
      </c>
      <c r="G233" s="124">
        <f>+G$220*$D233</f>
        <v>0</v>
      </c>
      <c r="H233" s="124">
        <f t="shared" ref="H233:M233" si="151">+H$220*$D233</f>
        <v>0</v>
      </c>
      <c r="I233" s="124">
        <f t="shared" si="151"/>
        <v>0</v>
      </c>
      <c r="J233" s="124">
        <f t="shared" si="151"/>
        <v>0</v>
      </c>
      <c r="K233" s="124">
        <f t="shared" si="151"/>
        <v>0</v>
      </c>
      <c r="L233" s="124">
        <f t="shared" si="151"/>
        <v>0</v>
      </c>
      <c r="M233" s="124">
        <f t="shared" si="151"/>
        <v>280669.86264778336</v>
      </c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</row>
    <row r="234" spans="3:31" outlineLevel="1" x14ac:dyDescent="0.25">
      <c r="C234" s="25" t="s">
        <v>168</v>
      </c>
      <c r="D234" s="134">
        <f>Dev_Cash_Flow_Pct_Above_Hurdle_2</f>
        <v>0.3</v>
      </c>
      <c r="G234" s="124">
        <f t="shared" ref="G234:M234" si="152">+G$220*$D234</f>
        <v>0</v>
      </c>
      <c r="H234" s="124">
        <f t="shared" si="152"/>
        <v>0</v>
      </c>
      <c r="I234" s="124">
        <f t="shared" si="152"/>
        <v>0</v>
      </c>
      <c r="J234" s="124">
        <f t="shared" si="152"/>
        <v>0</v>
      </c>
      <c r="K234" s="124">
        <f t="shared" si="152"/>
        <v>0</v>
      </c>
      <c r="L234" s="124">
        <f t="shared" si="152"/>
        <v>0</v>
      </c>
      <c r="M234" s="124">
        <f t="shared" si="152"/>
        <v>120287.08399190716</v>
      </c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</row>
    <row r="235" spans="3:31" outlineLevel="1" x14ac:dyDescent="0.25"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</row>
    <row r="236" spans="3:31" outlineLevel="1" x14ac:dyDescent="0.25">
      <c r="C236" s="127" t="s">
        <v>170</v>
      </c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</row>
    <row r="237" spans="3:31" outlineLevel="1" x14ac:dyDescent="0.25"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</row>
    <row r="238" spans="3:31" outlineLevel="1" x14ac:dyDescent="0.25">
      <c r="C238" s="4" t="s">
        <v>171</v>
      </c>
      <c r="D238" s="60" t="s">
        <v>84</v>
      </c>
      <c r="F238" s="140">
        <f>+F191</f>
        <v>-13501692.308702093</v>
      </c>
      <c r="G238" s="140">
        <f>+G225+G229+G233</f>
        <v>-325043.50779750256</v>
      </c>
      <c r="H238" s="140">
        <f t="shared" ref="H238:M238" si="153">+H225+H229+H233</f>
        <v>823985.41489710601</v>
      </c>
      <c r="I238" s="140">
        <f t="shared" si="153"/>
        <v>1112933.6876058981</v>
      </c>
      <c r="J238" s="140">
        <f t="shared" si="153"/>
        <v>8666547.9308843948</v>
      </c>
      <c r="K238" s="140">
        <f t="shared" si="153"/>
        <v>420900.71342824493</v>
      </c>
      <c r="L238" s="140">
        <f t="shared" si="153"/>
        <v>836315.30655882508</v>
      </c>
      <c r="M238" s="140">
        <f t="shared" si="153"/>
        <v>26748874.507174317</v>
      </c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</row>
    <row r="239" spans="3:31" outlineLevel="1" x14ac:dyDescent="0.25">
      <c r="C239" s="24" t="s">
        <v>64</v>
      </c>
      <c r="D239" s="60" t="s">
        <v>72</v>
      </c>
      <c r="F239" s="146">
        <f>IRR(F238:M238)</f>
        <v>0.19269249922616338</v>
      </c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</row>
    <row r="240" spans="3:31" outlineLevel="1" x14ac:dyDescent="0.25">
      <c r="C240" s="24" t="s">
        <v>154</v>
      </c>
      <c r="D240" s="60" t="s">
        <v>141</v>
      </c>
      <c r="F240" s="123">
        <f>-SUM(G238:M238)/F238</f>
        <v>2.8355344780058576</v>
      </c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</row>
    <row r="241" spans="3:31" outlineLevel="1" x14ac:dyDescent="0.25">
      <c r="C241" s="24" t="s">
        <v>155</v>
      </c>
      <c r="D241" s="60" t="s">
        <v>72</v>
      </c>
      <c r="G241" s="125">
        <f>-G238/$F238</f>
        <v>-2.4074279013750442E-2</v>
      </c>
      <c r="H241" s="125">
        <f t="shared" ref="H241:M241" si="154">-H238/$F238</f>
        <v>6.1028306382454892E-2</v>
      </c>
      <c r="I241" s="125">
        <f t="shared" si="154"/>
        <v>8.2429199404032608E-2</v>
      </c>
      <c r="J241" s="125">
        <f t="shared" si="154"/>
        <v>0.64188604900280855</v>
      </c>
      <c r="K241" s="125">
        <f t="shared" si="154"/>
        <v>3.1173922779810837E-2</v>
      </c>
      <c r="L241" s="125">
        <f t="shared" si="154"/>
        <v>6.194151721409058E-2</v>
      </c>
      <c r="M241" s="125">
        <f t="shared" si="154"/>
        <v>1.98114976223641</v>
      </c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</row>
    <row r="242" spans="3:31" outlineLevel="1" x14ac:dyDescent="0.25">
      <c r="C242" s="7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</row>
    <row r="243" spans="3:31" outlineLevel="1" x14ac:dyDescent="0.25">
      <c r="C243" s="4" t="s">
        <v>172</v>
      </c>
      <c r="D243" s="60" t="s">
        <v>84</v>
      </c>
      <c r="F243" s="140">
        <f>+F197</f>
        <v>-1500188.0343002325</v>
      </c>
      <c r="G243" s="140">
        <f>+G226+G230+G234</f>
        <v>-36115.945310833624</v>
      </c>
      <c r="H243" s="140">
        <f t="shared" ref="H243:M243" si="155">+H226+H230+H234</f>
        <v>91553.934988567329</v>
      </c>
      <c r="I243" s="140">
        <f t="shared" si="155"/>
        <v>123659.29862287757</v>
      </c>
      <c r="J243" s="140">
        <f t="shared" si="155"/>
        <v>962949.77009826608</v>
      </c>
      <c r="K243" s="140">
        <f t="shared" si="155"/>
        <v>46766.745936471656</v>
      </c>
      <c r="L243" s="140">
        <f t="shared" si="155"/>
        <v>92923.922950980559</v>
      </c>
      <c r="M243" s="140">
        <f t="shared" si="155"/>
        <v>5214294.0612924658</v>
      </c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</row>
    <row r="244" spans="3:31" outlineLevel="1" x14ac:dyDescent="0.25">
      <c r="C244" s="24" t="s">
        <v>64</v>
      </c>
      <c r="D244" s="60" t="s">
        <v>72</v>
      </c>
      <c r="F244" s="146">
        <f>IRR(F243:M243)</f>
        <v>0.26621556009374325</v>
      </c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</row>
    <row r="245" spans="3:31" outlineLevel="1" x14ac:dyDescent="0.25">
      <c r="C245" s="24" t="s">
        <v>154</v>
      </c>
      <c r="D245" s="60" t="s">
        <v>141</v>
      </c>
      <c r="F245" s="123">
        <f>-SUM(G243:M243)/F243</f>
        <v>4.3301450485231276</v>
      </c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</row>
    <row r="246" spans="3:31" outlineLevel="1" x14ac:dyDescent="0.25">
      <c r="C246" s="24" t="s">
        <v>155</v>
      </c>
      <c r="D246" s="60" t="s">
        <v>72</v>
      </c>
      <c r="G246" s="125">
        <f>-G243/$F243</f>
        <v>-2.4074279013750446E-2</v>
      </c>
      <c r="H246" s="125">
        <f t="shared" ref="H246:M246" si="156">-H243/$F243</f>
        <v>6.1028306382454885E-2</v>
      </c>
      <c r="I246" s="125">
        <f t="shared" si="156"/>
        <v>8.2429199404032608E-2</v>
      </c>
      <c r="J246" s="125">
        <f t="shared" si="156"/>
        <v>0.64188604900280855</v>
      </c>
      <c r="K246" s="125">
        <f t="shared" si="156"/>
        <v>3.1173922779810834E-2</v>
      </c>
      <c r="L246" s="125">
        <f t="shared" si="156"/>
        <v>6.194151721409058E-2</v>
      </c>
      <c r="M246" s="125">
        <f t="shared" si="156"/>
        <v>3.4757603327536803</v>
      </c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</row>
    <row r="247" spans="3:31" x14ac:dyDescent="0.25"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</row>
  </sheetData>
  <dataValidations disablePrompts="1" count="1">
    <dataValidation type="whole" allowBlank="1" showInputMessage="1" showErrorMessage="1" sqref="J18">
      <formula1>0</formula1>
      <formula2>1</formula2>
    </dataValidation>
  </dataValidations>
  <pageMargins left="0.7" right="0.7" top="0.75" bottom="0.75" header="0.3" footer="0.3"/>
  <pageSetup scale="38" orientation="portrait" horizontalDpi="1200" verticalDpi="1200" r:id="rId1"/>
  <rowBreaks count="3" manualBreakCount="3">
    <brk id="46" max="14" man="1"/>
    <brk id="105" max="14" man="1"/>
    <brk id="176" max="14" man="1"/>
  </rowBreaks>
  <ignoredErrors>
    <ignoredError sqref="J28 E28 J8 J10 J13 E18 J16 E69 E86 H73:N73 H90:N90 O73:O75 O90:P9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R32"/>
  <sheetViews>
    <sheetView showGridLines="0" zoomScaleNormal="100" workbookViewId="0">
      <selection activeCell="B2" sqref="B2"/>
    </sheetView>
  </sheetViews>
  <sheetFormatPr defaultColWidth="11" defaultRowHeight="15.75" x14ac:dyDescent="0.25"/>
  <cols>
    <col min="1" max="2" width="2.625" style="7" customWidth="1"/>
    <col min="3" max="3" width="32.125" style="7" bestFit="1" customWidth="1"/>
    <col min="4" max="18" width="12.625" style="7" customWidth="1"/>
    <col min="19" max="19" width="2.625" style="7" customWidth="1"/>
    <col min="20" max="16384" width="11" style="7"/>
  </cols>
  <sheetData>
    <row r="2" spans="2:18" ht="18.75" x14ac:dyDescent="0.3">
      <c r="B2" s="16" t="s">
        <v>32</v>
      </c>
      <c r="C2" s="2"/>
      <c r="D2" s="2"/>
      <c r="E2" s="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x14ac:dyDescent="0.25">
      <c r="B3" s="7" t="str">
        <f>+'Dev-Pro-Forma'!$B$3</f>
        <v>($ in CAD as Stated)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8" x14ac:dyDescent="0.25"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2:18" x14ac:dyDescent="0.25">
      <c r="B5" s="58" t="s">
        <v>33</v>
      </c>
      <c r="C5" s="58"/>
      <c r="D5" s="101" t="str">
        <f>+'Dev-Pro-Forma'!$D$5</f>
        <v>Units:</v>
      </c>
      <c r="E5" s="101"/>
      <c r="F5" s="100" t="s">
        <v>2</v>
      </c>
      <c r="G5" s="100" t="s">
        <v>3</v>
      </c>
      <c r="H5" s="100" t="s">
        <v>4</v>
      </c>
      <c r="I5" s="100" t="s">
        <v>5</v>
      </c>
      <c r="J5" s="100" t="s">
        <v>6</v>
      </c>
      <c r="K5" s="100" t="s">
        <v>7</v>
      </c>
      <c r="L5" s="100" t="s">
        <v>8</v>
      </c>
      <c r="M5" s="100" t="s">
        <v>9</v>
      </c>
      <c r="N5" s="100" t="s">
        <v>10</v>
      </c>
      <c r="O5" s="100" t="s">
        <v>11</v>
      </c>
      <c r="P5" s="100" t="s">
        <v>12</v>
      </c>
      <c r="Q5" s="100" t="s">
        <v>13</v>
      </c>
      <c r="R5" s="100" t="s">
        <v>1</v>
      </c>
    </row>
    <row r="6" spans="2:18" x14ac:dyDescent="0.25"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x14ac:dyDescent="0.25">
      <c r="B7" s="13"/>
      <c r="C7" s="7" t="s">
        <v>196</v>
      </c>
      <c r="D7" s="60" t="s">
        <v>72</v>
      </c>
      <c r="E7" s="13"/>
      <c r="F7" s="17">
        <v>0.2</v>
      </c>
      <c r="G7" s="17">
        <v>0</v>
      </c>
      <c r="H7" s="17">
        <v>0</v>
      </c>
      <c r="I7" s="17">
        <v>0</v>
      </c>
      <c r="J7" s="17">
        <v>0</v>
      </c>
      <c r="K7" s="17">
        <v>0.8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18">
        <f>SUM(F7:Q7)</f>
        <v>1</v>
      </c>
    </row>
    <row r="8" spans="2:18" x14ac:dyDescent="0.25">
      <c r="B8" s="13"/>
      <c r="C8" s="7" t="s">
        <v>125</v>
      </c>
      <c r="D8" s="60" t="s">
        <v>72</v>
      </c>
      <c r="E8" s="13"/>
      <c r="F8" s="17">
        <v>0.2</v>
      </c>
      <c r="G8" s="17">
        <v>0.1</v>
      </c>
      <c r="H8" s="17">
        <v>0.1</v>
      </c>
      <c r="I8" s="17">
        <v>0.05</v>
      </c>
      <c r="J8" s="17">
        <v>0.05</v>
      </c>
      <c r="K8" s="17">
        <v>0.05</v>
      </c>
      <c r="L8" s="17">
        <v>0.1</v>
      </c>
      <c r="M8" s="17">
        <v>0.1</v>
      </c>
      <c r="N8" s="17">
        <v>0.05</v>
      </c>
      <c r="O8" s="17">
        <v>0.1</v>
      </c>
      <c r="P8" s="17">
        <v>0.05</v>
      </c>
      <c r="Q8" s="17">
        <v>0.05</v>
      </c>
      <c r="R8" s="118">
        <f t="shared" ref="R8" si="0">SUM(F8:Q8)</f>
        <v>1</v>
      </c>
    </row>
    <row r="9" spans="2:18" x14ac:dyDescent="0.25">
      <c r="B9" s="13"/>
      <c r="C9" s="7" t="s">
        <v>198</v>
      </c>
      <c r="D9" s="60" t="s">
        <v>72</v>
      </c>
      <c r="E9" s="13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18">
        <f>SUM(F9:Q9)</f>
        <v>1</v>
      </c>
    </row>
    <row r="10" spans="2:18" x14ac:dyDescent="0.25">
      <c r="B10" s="13"/>
      <c r="D10" s="60"/>
      <c r="E10" s="13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18"/>
    </row>
    <row r="11" spans="2:18" x14ac:dyDescent="0.25">
      <c r="B11" s="13"/>
      <c r="C11" s="24" t="s">
        <v>173</v>
      </c>
      <c r="D11" s="62" t="s">
        <v>84</v>
      </c>
      <c r="E11" s="13"/>
      <c r="F11" s="103">
        <f t="shared" ref="F11:Q11" si="1">+Land_Acq_Costs*F7</f>
        <v>2520000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10080000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3">
        <f t="shared" si="1"/>
        <v>0</v>
      </c>
      <c r="R11" s="104">
        <f>SUM(F11:Q11)</f>
        <v>12600000</v>
      </c>
    </row>
    <row r="12" spans="2:18" x14ac:dyDescent="0.25">
      <c r="C12" s="24" t="s">
        <v>174</v>
      </c>
      <c r="D12" s="190" t="s">
        <v>84</v>
      </c>
      <c r="F12" s="149">
        <f t="shared" ref="F12:Q12" si="2">+Constr_Costs*F8</f>
        <v>3371544</v>
      </c>
      <c r="G12" s="149">
        <f t="shared" si="2"/>
        <v>1685772</v>
      </c>
      <c r="H12" s="149">
        <f t="shared" si="2"/>
        <v>1685772</v>
      </c>
      <c r="I12" s="149">
        <f t="shared" si="2"/>
        <v>842886</v>
      </c>
      <c r="J12" s="149">
        <f t="shared" si="2"/>
        <v>842886</v>
      </c>
      <c r="K12" s="149">
        <f t="shared" si="2"/>
        <v>842886</v>
      </c>
      <c r="L12" s="149">
        <f t="shared" si="2"/>
        <v>1685772</v>
      </c>
      <c r="M12" s="149">
        <f t="shared" si="2"/>
        <v>1685772</v>
      </c>
      <c r="N12" s="149">
        <f t="shared" si="2"/>
        <v>842886</v>
      </c>
      <c r="O12" s="149">
        <f t="shared" si="2"/>
        <v>1685772</v>
      </c>
      <c r="P12" s="149">
        <f t="shared" si="2"/>
        <v>842886</v>
      </c>
      <c r="Q12" s="149">
        <f t="shared" si="2"/>
        <v>842886</v>
      </c>
      <c r="R12" s="41">
        <f t="shared" ref="R12" si="3">SUM(F12:Q12)</f>
        <v>16857720</v>
      </c>
    </row>
    <row r="13" spans="2:18" x14ac:dyDescent="0.25">
      <c r="C13" s="24" t="s">
        <v>199</v>
      </c>
      <c r="D13" s="102" t="s">
        <v>84</v>
      </c>
      <c r="F13" s="149">
        <f>+F9*'Dev-Pro-Forma'!$J$44</f>
        <v>0</v>
      </c>
      <c r="G13" s="149">
        <f>+G9*'Dev-Pro-Forma'!$J$44</f>
        <v>0</v>
      </c>
      <c r="H13" s="149">
        <f>+H9*'Dev-Pro-Forma'!$J$44</f>
        <v>0</v>
      </c>
      <c r="I13" s="149">
        <f>+I9*'Dev-Pro-Forma'!$J$44</f>
        <v>0</v>
      </c>
      <c r="J13" s="149">
        <f>+J9*'Dev-Pro-Forma'!$J$44</f>
        <v>0</v>
      </c>
      <c r="K13" s="149">
        <f>+K9*'Dev-Pro-Forma'!$J$44</f>
        <v>0</v>
      </c>
      <c r="L13" s="149">
        <f>+L9*'Dev-Pro-Forma'!$J$44</f>
        <v>0</v>
      </c>
      <c r="M13" s="149">
        <f>+M9*'Dev-Pro-Forma'!$J$44</f>
        <v>0</v>
      </c>
      <c r="N13" s="149">
        <f>+N9*'Dev-Pro-Forma'!$J$44</f>
        <v>0</v>
      </c>
      <c r="O13" s="149">
        <f>+O9*'Dev-Pro-Forma'!$J$44</f>
        <v>0</v>
      </c>
      <c r="P13" s="149">
        <f>+P9*'Dev-Pro-Forma'!$J$44</f>
        <v>0</v>
      </c>
      <c r="Q13" s="149">
        <f>+Q9*'Dev-Pro-Forma'!$J$44</f>
        <v>600000</v>
      </c>
      <c r="R13" s="41">
        <f>SUM(F13:Q13)</f>
        <v>600000</v>
      </c>
    </row>
    <row r="14" spans="2:18" x14ac:dyDescent="0.25">
      <c r="C14" s="51" t="s">
        <v>175</v>
      </c>
      <c r="D14" s="62" t="s">
        <v>84</v>
      </c>
      <c r="E14" s="148"/>
      <c r="F14" s="150">
        <f>SUM(F11:F13)</f>
        <v>5891544</v>
      </c>
      <c r="G14" s="150">
        <f t="shared" ref="G14:Q14" si="4">SUM(G11:G13)</f>
        <v>1685772</v>
      </c>
      <c r="H14" s="150">
        <f t="shared" si="4"/>
        <v>1685772</v>
      </c>
      <c r="I14" s="150">
        <f t="shared" si="4"/>
        <v>842886</v>
      </c>
      <c r="J14" s="150">
        <f t="shared" si="4"/>
        <v>842886</v>
      </c>
      <c r="K14" s="150">
        <f t="shared" si="4"/>
        <v>10922886</v>
      </c>
      <c r="L14" s="150">
        <f t="shared" si="4"/>
        <v>1685772</v>
      </c>
      <c r="M14" s="150">
        <f t="shared" si="4"/>
        <v>1685772</v>
      </c>
      <c r="N14" s="150">
        <f t="shared" si="4"/>
        <v>842886</v>
      </c>
      <c r="O14" s="150">
        <f t="shared" si="4"/>
        <v>1685772</v>
      </c>
      <c r="P14" s="150">
        <f t="shared" si="4"/>
        <v>842886</v>
      </c>
      <c r="Q14" s="150">
        <f t="shared" si="4"/>
        <v>1442886</v>
      </c>
      <c r="R14" s="191">
        <f>SUM(R11:R13)</f>
        <v>30057720</v>
      </c>
    </row>
    <row r="15" spans="2:18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</row>
    <row r="16" spans="2:18" x14ac:dyDescent="0.25">
      <c r="C16" s="7" t="s">
        <v>28</v>
      </c>
      <c r="D16" s="62" t="s">
        <v>84</v>
      </c>
      <c r="E16" s="20">
        <f>SUM('Dev-Pro-Forma'!E43:E44)</f>
        <v>15028860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"/>
    </row>
    <row r="17" spans="3:18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"/>
    </row>
    <row r="18" spans="3:18" x14ac:dyDescent="0.25">
      <c r="C18" s="7" t="s">
        <v>29</v>
      </c>
      <c r="D18" s="62" t="s">
        <v>84</v>
      </c>
      <c r="F18" s="19">
        <f>MIN(F14,Max_Equity-SUM($E18:E18))</f>
        <v>5891544</v>
      </c>
      <c r="G18" s="19">
        <f>MIN(G14,Max_Equity-SUM($E18:F18))</f>
        <v>1685772</v>
      </c>
      <c r="H18" s="19">
        <f>MIN(H14,Max_Equity-SUM($E18:G18))</f>
        <v>1685772</v>
      </c>
      <c r="I18" s="19">
        <f>MIN(I14,Max_Equity-SUM($E18:H18))</f>
        <v>842886</v>
      </c>
      <c r="J18" s="19">
        <f>MIN(J14,Max_Equity-SUM($E18:I18))</f>
        <v>842886</v>
      </c>
      <c r="K18" s="19">
        <f>MIN(K14,Max_Equity-SUM($E18:J18))</f>
        <v>4080000</v>
      </c>
      <c r="L18" s="19">
        <f>MIN(L14,Max_Equity-SUM($E18:K18))</f>
        <v>0</v>
      </c>
      <c r="M18" s="19">
        <f>MIN(M14,Max_Equity-SUM($E18:L18))</f>
        <v>0</v>
      </c>
      <c r="N18" s="19">
        <f>MIN(N14,Max_Equity-SUM($E18:M18))</f>
        <v>0</v>
      </c>
      <c r="O18" s="19">
        <f>MIN(O14,Max_Equity-SUM($E18:N18))</f>
        <v>0</v>
      </c>
      <c r="P18" s="19">
        <f>MIN(P14,Max_Equity-SUM($E18:O18))</f>
        <v>0</v>
      </c>
      <c r="Q18" s="19">
        <f>MIN(Q14,Max_Equity-SUM($E18:P18))</f>
        <v>0</v>
      </c>
      <c r="R18" s="2"/>
    </row>
    <row r="19" spans="3:18" x14ac:dyDescent="0.25">
      <c r="C19" s="7" t="s">
        <v>34</v>
      </c>
      <c r="D19" s="62" t="s">
        <v>84</v>
      </c>
      <c r="F19" s="20">
        <f>MAX(F14-F18,0)</f>
        <v>0</v>
      </c>
      <c r="G19" s="20">
        <f t="shared" ref="G19:Q19" si="5">MAX(G14-G18,0)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6842886</v>
      </c>
      <c r="L19" s="20">
        <f t="shared" si="5"/>
        <v>1685772</v>
      </c>
      <c r="M19" s="20">
        <f t="shared" si="5"/>
        <v>1685772</v>
      </c>
      <c r="N19" s="20">
        <f t="shared" si="5"/>
        <v>842886</v>
      </c>
      <c r="O19" s="20">
        <f t="shared" si="5"/>
        <v>1685772</v>
      </c>
      <c r="P19" s="20">
        <f t="shared" si="5"/>
        <v>842886</v>
      </c>
      <c r="Q19" s="20">
        <f t="shared" si="5"/>
        <v>1442886</v>
      </c>
      <c r="R19" s="2"/>
    </row>
    <row r="20" spans="3:18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</row>
    <row r="21" spans="3:18" x14ac:dyDescent="0.25">
      <c r="C21" s="7" t="s">
        <v>31</v>
      </c>
      <c r="D21" s="62" t="s">
        <v>84</v>
      </c>
      <c r="E21" s="35">
        <v>0</v>
      </c>
      <c r="F21" s="20">
        <f>+E21+F18</f>
        <v>5891544</v>
      </c>
      <c r="G21" s="20">
        <f t="shared" ref="G21:Q21" si="6">+F21+G18</f>
        <v>7577316</v>
      </c>
      <c r="H21" s="20">
        <f t="shared" si="6"/>
        <v>9263088</v>
      </c>
      <c r="I21" s="20">
        <f t="shared" si="6"/>
        <v>10105974</v>
      </c>
      <c r="J21" s="20">
        <f t="shared" si="6"/>
        <v>10948860</v>
      </c>
      <c r="K21" s="20">
        <f t="shared" si="6"/>
        <v>15028860</v>
      </c>
      <c r="L21" s="20">
        <f t="shared" si="6"/>
        <v>15028860</v>
      </c>
      <c r="M21" s="20">
        <f t="shared" si="6"/>
        <v>15028860</v>
      </c>
      <c r="N21" s="20">
        <f t="shared" si="6"/>
        <v>15028860</v>
      </c>
      <c r="O21" s="20">
        <f t="shared" si="6"/>
        <v>15028860</v>
      </c>
      <c r="P21" s="20">
        <f t="shared" si="6"/>
        <v>15028860</v>
      </c>
      <c r="Q21" s="20">
        <f t="shared" si="6"/>
        <v>15028860</v>
      </c>
      <c r="R21" s="2"/>
    </row>
    <row r="22" spans="3:18" x14ac:dyDescent="0.25">
      <c r="D22" s="62"/>
      <c r="E22" s="18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"/>
    </row>
    <row r="23" spans="3:18" x14ac:dyDescent="0.25">
      <c r="C23" s="7" t="s">
        <v>192</v>
      </c>
      <c r="D23" s="62" t="s">
        <v>84</v>
      </c>
      <c r="E23" s="35">
        <v>0</v>
      </c>
      <c r="F23" s="20">
        <f>+E24+F19+F29</f>
        <v>0</v>
      </c>
      <c r="G23" s="20">
        <f t="shared" ref="G23:Q23" si="7">+F24+G19+G29</f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6911314.8600000003</v>
      </c>
      <c r="L23" s="20">
        <f t="shared" si="7"/>
        <v>8648949.2490518</v>
      </c>
      <c r="M23" s="20">
        <f t="shared" si="7"/>
        <v>10395384.469487192</v>
      </c>
      <c r="N23" s="20">
        <f t="shared" si="7"/>
        <v>11299350.236064555</v>
      </c>
      <c r="O23" s="20">
        <f t="shared" si="7"/>
        <v>13059209.300049877</v>
      </c>
      <c r="P23" s="20">
        <f t="shared" si="7"/>
        <v>13976666.899729142</v>
      </c>
      <c r="Q23" s="20">
        <f t="shared" si="7"/>
        <v>15504771.270724194</v>
      </c>
      <c r="R23" s="2"/>
    </row>
    <row r="24" spans="3:18" x14ac:dyDescent="0.25">
      <c r="C24" s="7" t="s">
        <v>193</v>
      </c>
      <c r="D24" s="62" t="s">
        <v>84</v>
      </c>
      <c r="E24" s="35">
        <v>0</v>
      </c>
      <c r="F24" s="20">
        <f>+F23+F30</f>
        <v>0</v>
      </c>
      <c r="G24" s="20">
        <f t="shared" ref="G24:Q24" si="8">+G23+G30</f>
        <v>0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6946319.5290517993</v>
      </c>
      <c r="L24" s="20">
        <f t="shared" si="8"/>
        <v>8692754.7494871914</v>
      </c>
      <c r="M24" s="20">
        <f t="shared" si="8"/>
        <v>10448035.376064556</v>
      </c>
      <c r="N24" s="20">
        <f t="shared" si="8"/>
        <v>11356579.580049876</v>
      </c>
      <c r="O24" s="20">
        <f t="shared" si="8"/>
        <v>13125352.039729143</v>
      </c>
      <c r="P24" s="20">
        <f t="shared" si="8"/>
        <v>14047456.410724195</v>
      </c>
      <c r="Q24" s="20">
        <f t="shared" si="8"/>
        <v>15583300.378144361</v>
      </c>
      <c r="R24" s="2"/>
    </row>
    <row r="25" spans="3:18" x14ac:dyDescent="0.2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3:18" x14ac:dyDescent="0.25">
      <c r="C26" s="7" t="s">
        <v>30</v>
      </c>
      <c r="D26" s="60" t="s">
        <v>72</v>
      </c>
      <c r="F26" s="36">
        <f t="shared" ref="F26:Q26" si="9">Constr_Loan_Monthly_Interest</f>
        <v>5.0648349497708356E-3</v>
      </c>
      <c r="G26" s="36">
        <f t="shared" si="9"/>
        <v>5.0648349497708356E-3</v>
      </c>
      <c r="H26" s="36">
        <f t="shared" si="9"/>
        <v>5.0648349497708356E-3</v>
      </c>
      <c r="I26" s="36">
        <f t="shared" si="9"/>
        <v>5.0648349497708356E-3</v>
      </c>
      <c r="J26" s="36">
        <f t="shared" si="9"/>
        <v>5.0648349497708356E-3</v>
      </c>
      <c r="K26" s="36">
        <f t="shared" si="9"/>
        <v>5.0648349497708356E-3</v>
      </c>
      <c r="L26" s="36">
        <f t="shared" si="9"/>
        <v>5.0648349497708356E-3</v>
      </c>
      <c r="M26" s="36">
        <f t="shared" si="9"/>
        <v>5.0648349497708356E-3</v>
      </c>
      <c r="N26" s="36">
        <f t="shared" si="9"/>
        <v>5.0648349497708356E-3</v>
      </c>
      <c r="O26" s="36">
        <f t="shared" si="9"/>
        <v>5.0648349497708356E-3</v>
      </c>
      <c r="P26" s="36">
        <f t="shared" si="9"/>
        <v>5.0648349497708356E-3</v>
      </c>
      <c r="Q26" s="36">
        <f t="shared" si="9"/>
        <v>5.0648349497708356E-3</v>
      </c>
      <c r="R26" s="2"/>
    </row>
    <row r="27" spans="3:18" x14ac:dyDescent="0.2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"/>
    </row>
    <row r="28" spans="3:18" x14ac:dyDescent="0.25">
      <c r="C28" s="4" t="s">
        <v>126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3:18" x14ac:dyDescent="0.25">
      <c r="C29" s="24" t="s">
        <v>45</v>
      </c>
      <c r="D29" s="62" t="s">
        <v>84</v>
      </c>
      <c r="F29" s="20">
        <f t="shared" ref="F29:Q29" si="10">+F19*Constr_Loan_Fees</f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68428.86</v>
      </c>
      <c r="L29" s="20">
        <f t="shared" si="10"/>
        <v>16857.72</v>
      </c>
      <c r="M29" s="20">
        <f t="shared" si="10"/>
        <v>16857.72</v>
      </c>
      <c r="N29" s="20">
        <f t="shared" si="10"/>
        <v>8428.86</v>
      </c>
      <c r="O29" s="20">
        <f t="shared" si="10"/>
        <v>16857.72</v>
      </c>
      <c r="P29" s="20">
        <f t="shared" si="10"/>
        <v>8428.86</v>
      </c>
      <c r="Q29" s="20">
        <f t="shared" si="10"/>
        <v>14428.86</v>
      </c>
      <c r="R29" s="2"/>
    </row>
    <row r="30" spans="3:18" x14ac:dyDescent="0.25">
      <c r="C30" s="28" t="s">
        <v>46</v>
      </c>
      <c r="D30" s="102" t="s">
        <v>84</v>
      </c>
      <c r="E30" s="10"/>
      <c r="F30" s="33">
        <f>+F23*F26</f>
        <v>0</v>
      </c>
      <c r="G30" s="33">
        <f t="shared" ref="G30:Q30" si="11">+G23*G26</f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3">
        <f t="shared" si="11"/>
        <v>35004.669051798533</v>
      </c>
      <c r="L30" s="33">
        <f t="shared" si="11"/>
        <v>43805.500435391783</v>
      </c>
      <c r="M30" s="33">
        <f t="shared" si="11"/>
        <v>52650.90657736369</v>
      </c>
      <c r="N30" s="33">
        <f t="shared" si="11"/>
        <v>57229.343985321102</v>
      </c>
      <c r="O30" s="33">
        <f t="shared" si="11"/>
        <v>66142.739679264952</v>
      </c>
      <c r="P30" s="33">
        <f t="shared" si="11"/>
        <v>70789.510995053352</v>
      </c>
      <c r="Q30" s="33">
        <f t="shared" si="11"/>
        <v>78529.107420166663</v>
      </c>
      <c r="R30" s="2"/>
    </row>
    <row r="31" spans="3:18" x14ac:dyDescent="0.25">
      <c r="C31" s="4" t="s">
        <v>127</v>
      </c>
      <c r="D31" s="62" t="s">
        <v>84</v>
      </c>
      <c r="F31" s="32">
        <f>SUM(F29:F30)</f>
        <v>0</v>
      </c>
      <c r="G31" s="32">
        <f t="shared" ref="G31:Q31" si="12">SUM(G29:G30)</f>
        <v>0</v>
      </c>
      <c r="H31" s="32">
        <f t="shared" si="12"/>
        <v>0</v>
      </c>
      <c r="I31" s="32">
        <f t="shared" si="12"/>
        <v>0</v>
      </c>
      <c r="J31" s="32">
        <f t="shared" si="12"/>
        <v>0</v>
      </c>
      <c r="K31" s="32">
        <f t="shared" si="12"/>
        <v>103433.52905179854</v>
      </c>
      <c r="L31" s="32">
        <f t="shared" si="12"/>
        <v>60663.220435391784</v>
      </c>
      <c r="M31" s="32">
        <f t="shared" si="12"/>
        <v>69508.626577363699</v>
      </c>
      <c r="N31" s="32">
        <f t="shared" si="12"/>
        <v>65658.203985321103</v>
      </c>
      <c r="O31" s="32">
        <f t="shared" si="12"/>
        <v>83000.459679264954</v>
      </c>
      <c r="P31" s="32">
        <f t="shared" si="12"/>
        <v>79218.370995053352</v>
      </c>
      <c r="Q31" s="32">
        <f t="shared" si="12"/>
        <v>92957.967420166664</v>
      </c>
      <c r="R31" s="2"/>
    </row>
    <row r="32" spans="3:18" x14ac:dyDescent="0.2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"/>
    </row>
  </sheetData>
  <pageMargins left="0.7" right="0.7" top="0.75" bottom="0.75" header="0.3" footer="0.3"/>
  <pageSetup scale="36" orientation="portrait" horizontalDpi="1200" verticalDpi="1200" r:id="rId1"/>
  <ignoredErrors>
    <ignoredError sqref="F11:Q12 R13 F13:Q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Dev-Pro-Forma</vt:lpstr>
      <vt:lpstr>Constr-Projections</vt:lpstr>
      <vt:lpstr>Constr_Costs</vt:lpstr>
      <vt:lpstr>Constr_Loan_Ann_Interest</vt:lpstr>
      <vt:lpstr>Constr_Loan_Fees</vt:lpstr>
      <vt:lpstr>Constr_Loan_LTC</vt:lpstr>
      <vt:lpstr>Constr_Loan_Monthly_Interest</vt:lpstr>
      <vt:lpstr>Constr_Start_Date</vt:lpstr>
      <vt:lpstr>Cost_per_Acre</vt:lpstr>
      <vt:lpstr>Dev_Cash_Flow_Pct_Above_Hurdle_1</vt:lpstr>
      <vt:lpstr>Dev_Cash_Flow_Pct_Above_Hurdle_2</vt:lpstr>
      <vt:lpstr>Dev_Equity_Pct</vt:lpstr>
      <vt:lpstr>Down_Months</vt:lpstr>
      <vt:lpstr>Excess_Land_Pct</vt:lpstr>
      <vt:lpstr>Exit_Fee_Pct</vt:lpstr>
      <vt:lpstr>Gross_Square_Feet</vt:lpstr>
      <vt:lpstr>IRR_Hurdle_1</vt:lpstr>
      <vt:lpstr>IRR_Hurdle_2</vt:lpstr>
      <vt:lpstr>Land_Acq_Costs</vt:lpstr>
      <vt:lpstr>Max_Equity</vt:lpstr>
      <vt:lpstr>Months</vt:lpstr>
      <vt:lpstr>New_Free_Rent_Months</vt:lpstr>
      <vt:lpstr>New_LC_Pct</vt:lpstr>
      <vt:lpstr>New_Lease_Years</vt:lpstr>
      <vt:lpstr>New_TIs</vt:lpstr>
      <vt:lpstr>Num_Acres</vt:lpstr>
      <vt:lpstr>Op_Ex_Growth</vt:lpstr>
      <vt:lpstr>OpEx_per_SF</vt:lpstr>
      <vt:lpstr>Perm_Loan_Amort_Period</vt:lpstr>
      <vt:lpstr>Perm_Loan_Ann_Interest</vt:lpstr>
      <vt:lpstr>Perm_Loan_Balance</vt:lpstr>
      <vt:lpstr>Perm_Loan_Fees</vt:lpstr>
      <vt:lpstr>Perm_Loan_LTV</vt:lpstr>
      <vt:lpstr>Perm_Loan_Maturity</vt:lpstr>
      <vt:lpstr>Perm_Loan_Prepay_Penalty</vt:lpstr>
      <vt:lpstr>'Constr-Projections'!Print_Area</vt:lpstr>
      <vt:lpstr>'Dev-Pro-Forma'!Print_Area</vt:lpstr>
      <vt:lpstr>Prop_Mgmt_Fee_Pct</vt:lpstr>
      <vt:lpstr>Renewal_Free_Rent_Months</vt:lpstr>
      <vt:lpstr>Renewal_LC_Pct</vt:lpstr>
      <vt:lpstr>Renewal_Probability</vt:lpstr>
      <vt:lpstr>Renewal_TIs</vt:lpstr>
      <vt:lpstr>Rentable_SF</vt:lpstr>
      <vt:lpstr>Reserve_Growth_Rate</vt:lpstr>
      <vt:lpstr>Reserve_per_SF</vt:lpstr>
      <vt:lpstr>Sq_Ft_in_Acre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Wilson</dc:creator>
  <cp:lastModifiedBy>BIWS</cp:lastModifiedBy>
  <dcterms:created xsi:type="dcterms:W3CDTF">2017-05-22T18:53:36Z</dcterms:created>
  <dcterms:modified xsi:type="dcterms:W3CDTF">2017-11-06T17:33:19Z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gmt_Fee_Pct" linkTarget="Prop_Mgmt_Fee_Pct">
    <vt:r8>0.03</vt:r8>
  </property>
</Properties>
</file>