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BIWS)\BIWS-All-Courses\10-Fundamentals-2021-Revision\Samples\08-17-Mid-Year-Stub-Discounts\"/>
    </mc:Choice>
  </mc:AlternateContent>
  <xr:revisionPtr revIDLastSave="0" documentId="13_ncr:1_{506C2C7A-0158-4102-9C9E-3F11611B53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_DCF" sheetId="2" r:id="rId1"/>
  </sheets>
  <definedNames>
    <definedName name="Cost_of_Debt">Simple_DCF!$D$26</definedName>
    <definedName name="Discount_Rate">Simple_DCF!$D$28</definedName>
    <definedName name="Equity_Risk_Premium">Simple_DCF!$D$18</definedName>
    <definedName name="Hist_Year">#REF!</definedName>
    <definedName name="Midyear">Simple_DCF!$D$8</definedName>
    <definedName name="Num_Years">Simple_DCF!$D$15</definedName>
    <definedName name="_xlnm.Print_Area" localSheetId="0">Simple_DCF!$A$1:$S$59</definedName>
    <definedName name="Proj_Year_1">#REF!</definedName>
    <definedName name="Risk_Free_Rate">Simple_DCF!$D$17</definedName>
    <definedName name="Stub_Period">Simple_DCF!$D$10</definedName>
    <definedName name="Tax_Rate">Simple_DCF!$D$14</definedName>
    <definedName name="Terminal_Growth_Rate">Simple_DCF!$N$10</definedName>
    <definedName name="Terminal_Multiple">Simple_DCF!$M$10</definedName>
    <definedName name="Unlevered_Beta">Simple_DCF!$D$20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" l="1"/>
  <c r="K52" i="2"/>
  <c r="L52" i="2"/>
  <c r="M52" i="2"/>
  <c r="N52" i="2"/>
  <c r="O52" i="2"/>
  <c r="P52" i="2"/>
  <c r="Q52" i="2"/>
  <c r="R52" i="2"/>
  <c r="J52" i="2"/>
  <c r="I52" i="2"/>
  <c r="D11" i="2"/>
  <c r="D10" i="2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L57" i="2"/>
  <c r="L59" i="2" s="1"/>
  <c r="R57" i="2"/>
  <c r="M11" i="2" s="1"/>
  <c r="Q57" i="2"/>
  <c r="Q59" i="2" s="1"/>
  <c r="M57" i="2"/>
  <c r="M59" i="2" s="1"/>
  <c r="I57" i="2"/>
  <c r="I59" i="2" s="1"/>
  <c r="F57" i="2"/>
  <c r="F59" i="2" s="1"/>
  <c r="G57" i="2"/>
  <c r="G59" i="2" s="1"/>
  <c r="H57" i="2"/>
  <c r="H59" i="2" s="1"/>
  <c r="K57" i="2"/>
  <c r="K59" i="2" s="1"/>
  <c r="O57" i="2"/>
  <c r="O59" i="2" s="1"/>
  <c r="P57" i="2"/>
  <c r="P59" i="2" s="1"/>
  <c r="E57" i="2"/>
  <c r="E59" i="2" s="1"/>
  <c r="D22" i="2"/>
  <c r="D23" i="2" s="1"/>
  <c r="D24" i="2" s="1"/>
  <c r="D28" i="2" s="1"/>
  <c r="R59" i="2" l="1"/>
  <c r="J57" i="2"/>
  <c r="J59" i="2" s="1"/>
  <c r="N57" i="2"/>
  <c r="N59" i="2" s="1"/>
  <c r="M15" i="2"/>
  <c r="R13" i="2" l="1"/>
  <c r="R58" i="2" l="1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R37" i="2"/>
  <c r="Q37" i="2"/>
  <c r="Q39" i="2" s="1"/>
  <c r="Q45" i="2" s="1"/>
  <c r="Q47" i="2" s="1"/>
  <c r="P37" i="2"/>
  <c r="P39" i="2" s="1"/>
  <c r="P45" i="2" s="1"/>
  <c r="P47" i="2" s="1"/>
  <c r="O37" i="2"/>
  <c r="O39" i="2" s="1"/>
  <c r="O45" i="2" s="1"/>
  <c r="O47" i="2" s="1"/>
  <c r="N37" i="2"/>
  <c r="N39" i="2" s="1"/>
  <c r="N45" i="2" s="1"/>
  <c r="N47" i="2" s="1"/>
  <c r="M37" i="2"/>
  <c r="M39" i="2" s="1"/>
  <c r="M45" i="2" s="1"/>
  <c r="M47" i="2" s="1"/>
  <c r="L37" i="2"/>
  <c r="L39" i="2" s="1"/>
  <c r="L45" i="2" s="1"/>
  <c r="L47" i="2" s="1"/>
  <c r="K37" i="2"/>
  <c r="K39" i="2" s="1"/>
  <c r="K45" i="2" s="1"/>
  <c r="K47" i="2" s="1"/>
  <c r="J37" i="2"/>
  <c r="J39" i="2" s="1"/>
  <c r="J45" i="2" s="1"/>
  <c r="J47" i="2" s="1"/>
  <c r="I37" i="2"/>
  <c r="I39" i="2" s="1"/>
  <c r="I45" i="2" s="1"/>
  <c r="H37" i="2"/>
  <c r="H39" i="2" s="1"/>
  <c r="H45" i="2" s="1"/>
  <c r="G37" i="2"/>
  <c r="G39" i="2" s="1"/>
  <c r="G45" i="2" s="1"/>
  <c r="F37" i="2"/>
  <c r="F39" i="2" s="1"/>
  <c r="F45" i="2" s="1"/>
  <c r="E37" i="2"/>
  <c r="Q50" i="2" l="1"/>
  <c r="Q53" i="2"/>
  <c r="L50" i="2"/>
  <c r="L53" i="2"/>
  <c r="N50" i="2"/>
  <c r="N53" i="2"/>
  <c r="J50" i="2"/>
  <c r="J53" i="2"/>
  <c r="K50" i="2"/>
  <c r="K53" i="2"/>
  <c r="M50" i="2"/>
  <c r="M53" i="2"/>
  <c r="O50" i="2"/>
  <c r="O53" i="2"/>
  <c r="P50" i="2"/>
  <c r="P53" i="2"/>
  <c r="D12" i="2"/>
  <c r="I47" i="2" s="1"/>
  <c r="R39" i="2"/>
  <c r="R45" i="2" s="1"/>
  <c r="E39" i="2"/>
  <c r="E45" i="2" s="1"/>
  <c r="E55" i="2" s="1"/>
  <c r="K55" i="2"/>
  <c r="I55" i="2"/>
  <c r="Q55" i="2"/>
  <c r="M55" i="2"/>
  <c r="L55" i="2"/>
  <c r="O55" i="2"/>
  <c r="P55" i="2"/>
  <c r="N55" i="2"/>
  <c r="J55" i="2"/>
  <c r="G55" i="2"/>
  <c r="H55" i="2"/>
  <c r="I50" i="2" l="1"/>
  <c r="I53" i="2"/>
  <c r="R11" i="2"/>
  <c r="R15" i="2" s="1"/>
  <c r="R47" i="2"/>
  <c r="R55" i="2"/>
  <c r="F55" i="2"/>
  <c r="R50" i="2" l="1"/>
  <c r="R53" i="2"/>
  <c r="R16" i="2" s="1"/>
  <c r="R17" i="2" s="1"/>
  <c r="M16" i="2"/>
  <c r="M17" i="2" s="1"/>
</calcChain>
</file>

<file path=xl/sharedStrings.xml><?xml version="1.0" encoding="utf-8"?>
<sst xmlns="http://schemas.openxmlformats.org/spreadsheetml/2006/main" count="85" uniqueCount="62">
  <si>
    <t>Mid-Year Discount Period:</t>
  </si>
  <si>
    <t>($ in Millions Except Per Share and Per Unit Data)</t>
  </si>
  <si>
    <t>Discounted Cash Flow (DCF) Analysis - Assumptions and Output:</t>
  </si>
  <si>
    <t>Effective Tax Rate:</t>
  </si>
  <si>
    <t>Terminal Value - Multiples Method:</t>
  </si>
  <si>
    <t>Years in Projection Period:</t>
  </si>
  <si>
    <t>Baseline Terminal EBITDA Multiple:</t>
  </si>
  <si>
    <t>Risk-Free Rate:</t>
  </si>
  <si>
    <t>Baseline Terminal Value:</t>
  </si>
  <si>
    <t>Equity Risk Premium:</t>
  </si>
  <si>
    <t>Median Unlevered Beta for Comparables:</t>
  </si>
  <si>
    <t>(+) PV of Terminal Value:</t>
  </si>
  <si>
    <t>(+) Sum of PV of Free Cash Flows:</t>
  </si>
  <si>
    <t>Implied Enterprise Value:</t>
  </si>
  <si>
    <t>Discount Rate (WACC):</t>
  </si>
  <si>
    <t>Historical:</t>
  </si>
  <si>
    <t>Projected:</t>
  </si>
  <si>
    <t>Unlevered Free Cash Flow Projections:</t>
  </si>
  <si>
    <t>Units: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</si>
  <si>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</si>
  <si>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</si>
  <si>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</si>
  <si>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</si>
  <si>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</si>
  <si>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</si>
  <si>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</si>
  <si>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</si>
  <si>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</si>
  <si>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</si>
  <si>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Revenue:</t>
  </si>
  <si>
    <t>$ M</t>
  </si>
  <si>
    <t>Operating Income (EBIT):</t>
  </si>
  <si>
    <t>(-) Taxes, Excluding Effect of Interest:</t>
  </si>
  <si>
    <t>Net Operating Profit After Tax (NOPAT):</t>
  </si>
  <si>
    <t>(+/-) Changes in Operating Assets &amp; Liabilities:</t>
  </si>
  <si>
    <t>(-) Capital Expenditures:</t>
  </si>
  <si>
    <t>Annual Unlevered Free Cash Flow:</t>
  </si>
  <si>
    <t>Annual Free Cash Flow Growth Rate:</t>
  </si>
  <si>
    <t>%</t>
  </si>
  <si>
    <t>Annual EBITDA:</t>
  </si>
  <si>
    <t>Annual EBITDA Growth Rate:</t>
  </si>
  <si>
    <t>Pre-Tax Cost of Debt:</t>
  </si>
  <si>
    <t>Simple DCF Analysis - Mid-Year Convention and Stub Periods</t>
  </si>
  <si>
    <t>Company - Debt / Total Capital Ratio:</t>
  </si>
  <si>
    <t>Company - Debt / Equity Ratio:</t>
  </si>
  <si>
    <t>Re-Levered Beta:</t>
  </si>
  <si>
    <t>Cost of Equity:</t>
  </si>
  <si>
    <t>#</t>
  </si>
  <si>
    <t>Standard Discount Period:</t>
  </si>
  <si>
    <t>Present Value of Unlevered FCF (Standard):</t>
  </si>
  <si>
    <t>Present Value of Unlevered FCF (Mid-Year):</t>
  </si>
  <si>
    <t>Use Mid-Year Convention in Calculations?</t>
  </si>
  <si>
    <t>Terminal Value - Perpetuity Growth Method:</t>
  </si>
  <si>
    <t>Terminal Value Discount Period:</t>
  </si>
  <si>
    <t>Baseline Terminal FCF Growth Rate:</t>
  </si>
  <si>
    <t>(+) Depreciation &amp; Amortization:</t>
  </si>
  <si>
    <t>Annual EBITDA Margin:</t>
  </si>
  <si>
    <t>Unlevered Free Cash Flow for Remainder of Year:</t>
  </si>
  <si>
    <t>Valuation Date:</t>
  </si>
  <si>
    <t>Stub Period:</t>
  </si>
  <si>
    <t>Cash Flow to Subtract in Projected Year 1:</t>
  </si>
  <si>
    <t>% Cash Flow Generated in Year 1 to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</si>
</sst>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FY&quot;yy"/>
    <numFmt numFmtId="165" formatCode="0.000"/>
    <numFmt numFmtId="166" formatCode="_(&quot;$&quot;* #,##0.0_);_(&quot;$&quot;* \(#,##0.0\);_(&quot;$&quot;* &quot;-&quot;?_);_(@_)"/>
    <numFmt numFmtId="167" formatCode="0.0%;\(0.0%\)"/>
    <numFmt numFmtId="168" formatCode="_(* #,##0.0_);_(* \(#,##0.0\);_(* &quot;-&quot;?_);_(@_)"/>
    <numFmt numFmtId="169" formatCode="_(0.0\ \x_);\(0.0\ \x\);_(&quot;–&quot;_);_(@_)"/>
    <numFmt numFmtId="170" formatCode="_(0.00%_);\(0.00%\);_(&quot;–&quot;_)_%;_(@_)_%"/>
    <numFmt numFmtId="171" formatCode="_(* #,##0.000_);_(* \(#,##0.000\);_(* &quot;-&quot;?_);_(@_)"/>
    <numFmt numFmtId="172" formatCode="0.00%;\(0.00%\)"/>
    <numFmt numFmtId="173" formatCode="0_);\(0\)"/>
    <numFmt numFmtId="174" formatCode="mmm\ dd"/>
  </numFmts>
  <fonts count="30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0"/>
      <name val="Calibri"/>
      <family val="2"/>
      <scheme val="minor"/>
    </font>
    <font>
      <sz val="12"/>
      <color rgb="FF0000FF"/>
      <name val="Calibri"/>
      <family val="2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1">
    <xf numFmtId="0" fontId="0" fillId="0" borderId="0"/>
    <xf numFmtId="0" fontId="8" fillId="2" borderId="2" applyNumberFormat="0" applyAlignment="0" applyProtection="0"/>
    <xf numFmtId="0" fontId="9" fillId="0" borderId="0"/>
    <xf numFmtId="0" fontId="7" fillId="0" borderId="0"/>
    <xf numFmtId="0" fontId="6" fillId="0" borderId="0"/>
    <xf numFmtId="0" fontId="10" fillId="0" borderId="0" applyAlignment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64">
    <xf numFmtId="0" fontId="0" fillId="0" borderId="0" xfId="0"/>
    <xf numFmtId="0" fontId="12" fillId="0" borderId="0" xfId="0" applyFont="1"/>
    <xf numFmtId="0" fontId="18" fillId="0" borderId="0" xfId="0" applyFont="1"/>
    <xf numFmtId="0" fontId="1" fillId="0" borderId="0" xfId="0" applyFont="1"/>
    <xf numFmtId="0" fontId="17" fillId="3" borderId="0" xfId="0" applyFont="1" applyFill="1"/>
    <xf numFmtId="0" fontId="19" fillId="3" borderId="0" xfId="0" applyFont="1" applyFill="1"/>
    <xf numFmtId="0" fontId="16" fillId="3" borderId="1" xfId="0" applyFont="1" applyFill="1" applyBorder="1"/>
    <xf numFmtId="0" fontId="21" fillId="3" borderId="1" xfId="0" applyFont="1" applyFill="1" applyBorder="1"/>
    <xf numFmtId="0" fontId="19" fillId="3" borderId="1" xfId="0" applyFont="1" applyFill="1" applyBorder="1"/>
    <xf numFmtId="0" fontId="17" fillId="3" borderId="1" xfId="0" applyFont="1" applyFill="1" applyBorder="1"/>
    <xf numFmtId="0" fontId="14" fillId="0" borderId="0" xfId="0" applyFont="1"/>
    <xf numFmtId="166" fontId="1" fillId="0" borderId="0" xfId="0" applyNumberFormat="1" applyFont="1"/>
    <xf numFmtId="167" fontId="22" fillId="2" borderId="2" xfId="1" applyNumberFormat="1" applyFont="1" applyAlignment="1">
      <alignment horizontal="center"/>
    </xf>
    <xf numFmtId="0" fontId="13" fillId="0" borderId="0" xfId="2" applyFont="1"/>
    <xf numFmtId="0" fontId="11" fillId="4" borderId="1" xfId="0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centerContinuous"/>
    </xf>
    <xf numFmtId="168" fontId="1" fillId="0" borderId="0" xfId="0" applyNumberFormat="1" applyFont="1"/>
    <xf numFmtId="1" fontId="15" fillId="2" borderId="3" xfId="0" applyNumberFormat="1" applyFont="1" applyFill="1" applyBorder="1" applyAlignment="1">
      <alignment horizontal="center"/>
    </xf>
    <xf numFmtId="169" fontId="15" fillId="2" borderId="3" xfId="0" applyNumberFormat="1" applyFont="1" applyFill="1" applyBorder="1" applyAlignment="1">
      <alignment horizontal="center"/>
    </xf>
    <xf numFmtId="170" fontId="15" fillId="2" borderId="3" xfId="0" applyNumberFormat="1" applyFont="1" applyFill="1" applyBorder="1" applyAlignment="1">
      <alignment horizontal="center"/>
    </xf>
    <xf numFmtId="167" fontId="13" fillId="0" borderId="0" xfId="2" applyNumberFormat="1" applyFont="1"/>
    <xf numFmtId="170" fontId="15" fillId="0" borderId="0" xfId="0" applyNumberFormat="1" applyFont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0" fontId="13" fillId="0" borderId="0" xfId="2" applyFont="1" applyAlignment="1">
      <alignment horizontal="left" indent="1"/>
    </xf>
    <xf numFmtId="0" fontId="13" fillId="0" borderId="1" xfId="2" applyFont="1" applyBorder="1" applyAlignment="1">
      <alignment horizontal="left" indent="1"/>
    </xf>
    <xf numFmtId="0" fontId="13" fillId="0" borderId="1" xfId="2" applyFont="1" applyBorder="1"/>
    <xf numFmtId="168" fontId="1" fillId="0" borderId="1" xfId="0" applyNumberFormat="1" applyFont="1" applyBorder="1"/>
    <xf numFmtId="0" fontId="23" fillId="0" borderId="0" xfId="2" applyFont="1"/>
    <xf numFmtId="166" fontId="11" fillId="0" borderId="0" xfId="0" applyNumberFormat="1" applyFont="1"/>
    <xf numFmtId="170" fontId="13" fillId="2" borderId="3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Continuous"/>
    </xf>
    <xf numFmtId="0" fontId="19" fillId="3" borderId="4" xfId="0" applyFont="1" applyFill="1" applyBorder="1" applyAlignment="1">
      <alignment horizontal="centerContinuous"/>
    </xf>
    <xf numFmtId="0" fontId="16" fillId="3" borderId="5" xfId="0" applyFont="1" applyFill="1" applyBorder="1" applyAlignment="1">
      <alignment horizontal="centerContinuous"/>
    </xf>
    <xf numFmtId="0" fontId="17" fillId="3" borderId="4" xfId="0" applyFont="1" applyFill="1" applyBorder="1" applyAlignment="1">
      <alignment horizontal="centerContinuous"/>
    </xf>
    <xf numFmtId="0" fontId="21" fillId="3" borderId="1" xfId="0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164" fontId="1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center"/>
    </xf>
    <xf numFmtId="166" fontId="24" fillId="0" borderId="0" xfId="0" applyNumberFormat="1" applyFont="1"/>
    <xf numFmtId="0" fontId="25" fillId="0" borderId="0" xfId="0" applyFont="1" applyAlignment="1">
      <alignment horizontal="left" indent="1"/>
    </xf>
    <xf numFmtId="167" fontId="26" fillId="0" borderId="0" xfId="0" applyNumberFormat="1" applyFont="1"/>
    <xf numFmtId="168" fontId="15" fillId="0" borderId="0" xfId="0" applyNumberFormat="1" applyFont="1"/>
    <xf numFmtId="9" fontId="12" fillId="0" borderId="0" xfId="0" applyNumberFormat="1" applyFont="1"/>
    <xf numFmtId="168" fontId="27" fillId="0" borderId="0" xfId="0" applyNumberFormat="1" applyFont="1"/>
    <xf numFmtId="168" fontId="28" fillId="0" borderId="0" xfId="0" applyNumberFormat="1" applyFont="1"/>
    <xf numFmtId="0" fontId="25" fillId="0" borderId="0" xfId="0" applyFont="1"/>
    <xf numFmtId="0" fontId="20" fillId="5" borderId="0" xfId="0" applyFont="1" applyFill="1"/>
    <xf numFmtId="0" fontId="12" fillId="5" borderId="0" xfId="0" applyFont="1" applyFill="1" applyAlignment="1">
      <alignment horizontal="center"/>
    </xf>
    <xf numFmtId="0" fontId="12" fillId="0" borderId="0" xfId="0" applyFont="1" applyAlignment="1">
      <alignment horizontal="left" indent="1"/>
    </xf>
    <xf numFmtId="0" fontId="20" fillId="0" borderId="0" xfId="0" applyFont="1" applyFill="1"/>
    <xf numFmtId="0" fontId="12" fillId="0" borderId="0" xfId="0" applyFont="1" applyFill="1" applyAlignment="1">
      <alignment horizontal="center"/>
    </xf>
    <xf numFmtId="166" fontId="28" fillId="0" borderId="0" xfId="0" applyNumberFormat="1" applyFont="1" applyFill="1"/>
    <xf numFmtId="171" fontId="27" fillId="0" borderId="0" xfId="0" applyNumberFormat="1" applyFont="1"/>
    <xf numFmtId="167" fontId="1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173" fontId="15" fillId="2" borderId="2" xfId="0" applyNumberFormat="1" applyFont="1" applyFill="1" applyBorder="1" applyAlignment="1">
      <alignment horizontal="center"/>
    </xf>
    <xf numFmtId="166" fontId="23" fillId="5" borderId="0" xfId="0" applyNumberFormat="1" applyFont="1" applyFill="1"/>
    <xf numFmtId="169" fontId="13" fillId="0" borderId="0" xfId="2" applyNumberFormat="1" applyFont="1"/>
    <xf numFmtId="174" fontId="15" fillId="2" borderId="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27" fillId="0" borderId="0" xfId="0" applyNumberFormat="1" applyFont="1" applyFill="1"/>
    <xf numFmtId="168" fontId="28" fillId="0" borderId="0" xfId="0" applyNumberFormat="1" applyFont="1" applyFill="1"/>
  </cellXfs>
  <cellStyles count="11"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3 2" xfId="7" xr:uid="{00000000-0005-0000-0000-000004000000}"/>
    <cellStyle name="Normal 3 3" xfId="9" xr:uid="{00000000-0005-0000-0000-000005000000}"/>
    <cellStyle name="Normal 3 4" xfId="10" xr:uid="{00000000-0005-0000-0000-000006000000}"/>
    <cellStyle name="Normal 4" xfId="4" xr:uid="{00000000-0005-0000-0000-000007000000}"/>
    <cellStyle name="Normal 4 2" xfId="8" xr:uid="{00000000-0005-0000-0000-000008000000}"/>
    <cellStyle name="Normal 5" xfId="6" xr:uid="{00000000-0005-0000-0000-000009000000}"/>
    <cellStyle name="Note" xfId="1" builtinId="10" customBuiltin="1"/>
    <cellStyle name="TextNormal" xfId="5" xr:uid="{00000000-0005-0000-0000-00000B000000}"/>
  </cellStyles>
  <dxfs count="0"/>
  <tableStyles count="0" defaultTableStyle="TableStyleMedium2" defaultPivotStyle="PivotStyleLight16"/>
  <colors>
    <mruColors>
      <color rgb="FF0000FF"/>
      <color rgb="FFFF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ACB7B-EE4E-467C-A6EB-CA34BC21798B}">
  <sheetPr>
    <pageSetUpPr autoPageBreaks="0"/>
  </sheetPr>
  <dimension ref="B2:R59"/>
  <sheetViews>
    <sheetView showGridLines="0" tabSelected="1" zoomScaleNormal="100" workbookViewId="0">
      <selection activeCell="B2" sqref="B2"/>
    </sheetView>
  </sheetViews>
  <sheetFormatPr defaultColWidth="8.85546875" defaultRowHeight="15.75" outlineLevelRow="1" outlineLevelCol="1" x14ac:dyDescent="0.25"/>
  <cols>
    <col min="1" max="2" width="2.7109375" style="3" customWidth="1"/>
    <col min="3" max="3" width="49.85546875" style="3" bestFit="1" customWidth="1"/>
    <col min="4" max="4" width="12.7109375" style="1" customWidth="1"/>
    <col min="5" max="6" width="12.7109375" style="1" customWidth="1" outlineLevel="1"/>
    <col min="7" max="8" width="12.7109375" style="3" customWidth="1" outlineLevel="1"/>
    <col min="9" max="18" width="12.7109375" style="3" customWidth="1"/>
    <col min="19" max="19" width="2.7109375" style="3" customWidth="1"/>
    <col min="20" max="16384" width="8.85546875" style="3"/>
  </cols>
  <sheetData>
    <row r="2" spans="2:18" ht="18.75" x14ac:dyDescent="0.3">
      <c r="B2" s="2" t="s">
        <v>42</v>
      </c>
    </row>
    <row r="3" spans="2:18" x14ac:dyDescent="0.25">
      <c r="B3" s="3" t="s">
        <v>1</v>
      </c>
    </row>
    <row r="5" spans="2:18" x14ac:dyDescent="0.25">
      <c r="B5" s="4"/>
      <c r="C5" s="4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x14ac:dyDescent="0.25">
      <c r="B6" s="6" t="s">
        <v>2</v>
      </c>
      <c r="C6" s="6"/>
      <c r="D6" s="7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8" spans="2:18" x14ac:dyDescent="0.25">
      <c r="C8" s="3" t="s">
        <v>51</v>
      </c>
      <c r="D8" s="57">
        <v>1</v>
      </c>
      <c r="E8" s="13"/>
      <c r="J8" s="14" t="s">
        <v>4</v>
      </c>
      <c r="K8" s="15"/>
      <c r="L8" s="15"/>
      <c r="M8" s="15"/>
      <c r="O8" s="14" t="s">
        <v>52</v>
      </c>
      <c r="P8" s="15"/>
      <c r="Q8" s="15"/>
      <c r="R8" s="15"/>
    </row>
    <row r="9" spans="2:18" x14ac:dyDescent="0.25">
      <c r="C9" s="3" t="s">
        <v>58</v>
      </c>
      <c r="D9" s="60">
        <v>44681</v>
      </c>
      <c r="J9" s="1"/>
      <c r="O9" s="1"/>
    </row>
    <row r="10" spans="2:18" x14ac:dyDescent="0.25">
      <c r="C10" s="3" t="s">
        <v>59</v>
      </c>
      <c r="D10" s="61">
        <f>_xlfn.DAYS(DATE(YEAR(D9),12,31),D9)/365</f>
        <v>0.67123287671232879</v>
      </c>
      <c r="J10" s="13" t="s">
        <v>6</v>
      </c>
      <c r="K10" s="13"/>
      <c r="L10" s="13"/>
      <c r="M10" s="18">
        <v>8</v>
      </c>
      <c r="O10" s="13" t="s">
        <v>54</v>
      </c>
      <c r="P10" s="13"/>
      <c r="Q10" s="13"/>
      <c r="R10" s="12">
        <v>1.2496769188227442E-2</v>
      </c>
    </row>
    <row r="11" spans="2:18" x14ac:dyDescent="0.25">
      <c r="C11" s="3" t="s">
        <v>61</v>
      </c>
      <c r="D11" s="12">
        <f>1/3</f>
        <v>0.33333333333333331</v>
      </c>
      <c r="J11" s="13" t="s">
        <v>8</v>
      </c>
      <c r="K11" s="13"/>
      <c r="L11" s="13"/>
      <c r="M11" s="11">
        <f>Terminal_Multiple*R57</f>
        <v>16638.912</v>
      </c>
      <c r="O11" s="13" t="s">
        <v>8</v>
      </c>
      <c r="P11" s="13"/>
      <c r="Q11" s="13"/>
      <c r="R11" s="11">
        <f>R45/(Discount_Rate-R10)</f>
        <v>16638.960989807794</v>
      </c>
    </row>
    <row r="12" spans="2:18" x14ac:dyDescent="0.25">
      <c r="C12" s="3" t="s">
        <v>60</v>
      </c>
      <c r="D12" s="62">
        <f>I45*D11</f>
        <v>100.05195620370668</v>
      </c>
      <c r="J12" s="13"/>
      <c r="M12" s="20"/>
      <c r="O12" s="13"/>
      <c r="R12" s="59"/>
    </row>
    <row r="13" spans="2:18" x14ac:dyDescent="0.25">
      <c r="J13" s="3" t="s">
        <v>53</v>
      </c>
      <c r="M13" s="53">
        <f>R49</f>
        <v>9.6712328767123292</v>
      </c>
      <c r="O13" s="3" t="s">
        <v>53</v>
      </c>
      <c r="R13" s="53">
        <f>IF(Midyear,R52,R49)</f>
        <v>9.1712328767123292</v>
      </c>
    </row>
    <row r="14" spans="2:18" x14ac:dyDescent="0.25">
      <c r="C14" s="3" t="s">
        <v>3</v>
      </c>
      <c r="D14" s="12">
        <v>0.25</v>
      </c>
    </row>
    <row r="15" spans="2:18" x14ac:dyDescent="0.25">
      <c r="C15" s="3" t="s">
        <v>5</v>
      </c>
      <c r="D15" s="17">
        <v>10</v>
      </c>
      <c r="J15" s="23" t="s">
        <v>11</v>
      </c>
      <c r="K15" s="13"/>
      <c r="L15" s="13"/>
      <c r="M15" s="16">
        <f>M11/((1+Discount_Rate)^M13)</f>
        <v>6856.5837444002918</v>
      </c>
      <c r="O15" s="23" t="s">
        <v>11</v>
      </c>
      <c r="P15" s="13"/>
      <c r="Q15" s="13"/>
      <c r="R15" s="16">
        <f>R11/((1+Discount_Rate)^R13)</f>
        <v>7178.1799337409038</v>
      </c>
    </row>
    <row r="16" spans="2:18" x14ac:dyDescent="0.25">
      <c r="J16" s="24" t="s">
        <v>12</v>
      </c>
      <c r="K16" s="25"/>
      <c r="L16" s="25"/>
      <c r="M16" s="26">
        <f>IF(Midyear,SUM($I$53:$R$53),SUM($I$50:$R$50))</f>
        <v>5391.0660345067645</v>
      </c>
      <c r="O16" s="24" t="s">
        <v>12</v>
      </c>
      <c r="P16" s="25"/>
      <c r="Q16" s="25"/>
      <c r="R16" s="26">
        <f>IF(Midyear,SUM($I$53:$R$53),SUM($I$50:$R$50))</f>
        <v>5391.0660345067645</v>
      </c>
    </row>
    <row r="17" spans="2:18" x14ac:dyDescent="0.25">
      <c r="C17" s="13" t="s">
        <v>7</v>
      </c>
      <c r="D17" s="19">
        <v>1.7999999999999999E-2</v>
      </c>
      <c r="F17" s="13"/>
      <c r="G17" s="13"/>
      <c r="H17" s="13"/>
      <c r="I17" s="13"/>
      <c r="J17" s="27" t="s">
        <v>13</v>
      </c>
      <c r="K17" s="13"/>
      <c r="L17" s="13"/>
      <c r="M17" s="28">
        <f>SUM(M15:M16)</f>
        <v>12247.649778907056</v>
      </c>
      <c r="O17" s="27" t="s">
        <v>13</v>
      </c>
      <c r="P17" s="13"/>
      <c r="Q17" s="13"/>
      <c r="R17" s="28">
        <f>SUM(R15:R16)</f>
        <v>12569.245968247669</v>
      </c>
    </row>
    <row r="18" spans="2:18" x14ac:dyDescent="0.25">
      <c r="C18" s="13" t="s">
        <v>9</v>
      </c>
      <c r="D18" s="19">
        <v>5.1999999999999998E-2</v>
      </c>
      <c r="F18" s="13"/>
      <c r="G18" s="13"/>
      <c r="H18" s="13"/>
      <c r="I18" s="13"/>
    </row>
    <row r="19" spans="2:18" x14ac:dyDescent="0.25">
      <c r="C19" s="13"/>
      <c r="D19" s="21"/>
      <c r="F19" s="13"/>
      <c r="G19" s="13"/>
      <c r="H19" s="13"/>
      <c r="I19" s="13"/>
      <c r="K19" s="13"/>
      <c r="N19" s="13"/>
    </row>
    <row r="20" spans="2:18" x14ac:dyDescent="0.25">
      <c r="C20" s="13" t="s">
        <v>10</v>
      </c>
      <c r="D20" s="22">
        <v>1.5</v>
      </c>
      <c r="F20" s="13"/>
      <c r="G20" s="13"/>
      <c r="H20" s="13"/>
      <c r="I20" s="13"/>
      <c r="K20" s="13"/>
      <c r="N20" s="13"/>
    </row>
    <row r="21" spans="2:18" x14ac:dyDescent="0.25">
      <c r="C21" s="13" t="s">
        <v>43</v>
      </c>
      <c r="D21" s="12">
        <v>0.2</v>
      </c>
      <c r="F21" s="13"/>
      <c r="G21" s="13"/>
      <c r="H21" s="13"/>
      <c r="I21" s="13"/>
      <c r="K21" s="13"/>
      <c r="N21" s="13"/>
    </row>
    <row r="22" spans="2:18" x14ac:dyDescent="0.25">
      <c r="C22" s="13" t="s">
        <v>44</v>
      </c>
      <c r="D22" s="54">
        <f>D21/(1-D21)</f>
        <v>0.25</v>
      </c>
      <c r="F22" s="13"/>
      <c r="G22" s="13"/>
      <c r="H22" s="13"/>
      <c r="I22" s="13"/>
      <c r="K22" s="13"/>
      <c r="N22" s="13"/>
    </row>
    <row r="23" spans="2:18" x14ac:dyDescent="0.25">
      <c r="C23" s="3" t="s">
        <v>45</v>
      </c>
      <c r="D23" s="55">
        <f>Unlevered_Beta*(1+D22*(1-Tax_Rate))</f>
        <v>1.78125</v>
      </c>
      <c r="F23" s="13"/>
      <c r="G23" s="13"/>
      <c r="H23" s="13"/>
      <c r="I23" s="13"/>
      <c r="K23" s="13"/>
      <c r="N23" s="13"/>
    </row>
    <row r="24" spans="2:18" x14ac:dyDescent="0.25">
      <c r="C24" s="3" t="s">
        <v>46</v>
      </c>
      <c r="D24" s="56">
        <f>Risk_Free_Rate+Equity_Risk_Premium*D23</f>
        <v>0.110625</v>
      </c>
      <c r="F24" s="13"/>
      <c r="G24" s="13"/>
      <c r="H24" s="13"/>
      <c r="I24" s="13"/>
      <c r="K24" s="13"/>
      <c r="N24" s="13"/>
    </row>
    <row r="25" spans="2:18" x14ac:dyDescent="0.25">
      <c r="F25" s="13"/>
      <c r="G25" s="13"/>
      <c r="H25" s="13"/>
      <c r="I25" s="13"/>
      <c r="K25" s="13"/>
      <c r="N25" s="13"/>
    </row>
    <row r="26" spans="2:18" x14ac:dyDescent="0.25">
      <c r="C26" s="3" t="s">
        <v>41</v>
      </c>
      <c r="D26" s="19">
        <v>0.05</v>
      </c>
      <c r="F26" s="13"/>
      <c r="G26" s="13"/>
      <c r="H26" s="13"/>
      <c r="I26" s="13"/>
      <c r="K26" s="13"/>
      <c r="N26" s="13"/>
    </row>
    <row r="27" spans="2:18" x14ac:dyDescent="0.25">
      <c r="D27" s="3"/>
      <c r="F27" s="13"/>
      <c r="G27" s="13"/>
      <c r="H27" s="13"/>
      <c r="I27" s="13"/>
      <c r="K27" s="13"/>
      <c r="N27" s="13"/>
    </row>
    <row r="28" spans="2:18" x14ac:dyDescent="0.25">
      <c r="C28" s="13" t="s">
        <v>14</v>
      </c>
      <c r="D28" s="29">
        <f>Cost_of_Debt*D21*(1-Tax_Rate)+D24*(1-D21)</f>
        <v>9.6000000000000016E-2</v>
      </c>
      <c r="F28" s="13"/>
      <c r="G28" s="13"/>
      <c r="H28" s="13"/>
      <c r="I28" s="13"/>
      <c r="K28" s="13"/>
      <c r="N28" s="13"/>
    </row>
    <row r="29" spans="2:18" x14ac:dyDescent="0.25">
      <c r="F29" s="13"/>
      <c r="G29" s="13"/>
      <c r="H29" s="13"/>
      <c r="I29" s="13"/>
      <c r="K29" s="13"/>
      <c r="N29" s="13"/>
    </row>
    <row r="30" spans="2:18" x14ac:dyDescent="0.25">
      <c r="B30" s="4"/>
      <c r="C30" s="4"/>
      <c r="D30" s="5"/>
      <c r="E30" s="30" t="s">
        <v>15</v>
      </c>
      <c r="F30" s="31"/>
      <c r="G30" s="30"/>
      <c r="H30" s="32"/>
      <c r="I30" s="30" t="s">
        <v>16</v>
      </c>
      <c r="J30" s="30"/>
      <c r="K30" s="30"/>
      <c r="L30" s="30"/>
      <c r="M30" s="30"/>
      <c r="N30" s="33"/>
      <c r="O30" s="33"/>
      <c r="P30" s="33"/>
      <c r="Q30" s="33"/>
      <c r="R30" s="33"/>
    </row>
    <row r="31" spans="2:18" x14ac:dyDescent="0.25">
      <c r="B31" s="6" t="s">
        <v>17</v>
      </c>
      <c r="C31" s="6"/>
      <c r="D31" s="34" t="s">
        <v>18</v>
      </c>
      <c r="E31" s="35" t="s">
        <v>19</v>
      </c>
      <c r="F31" s="35" t="s">
        <v>20</v>
      </c>
      <c r="G31" s="35" t="s">
        <v>21</v>
      </c>
      <c r="H31" s="36" t="s">
        <v>22</v>
      </c>
      <c r="I31" s="35" t="s">
        <v>19</v>
      </c>
      <c r="J31" s="35" t="s">
        <v>20</v>
      </c>
      <c r="K31" s="35" t="s">
        <v>21</v>
      </c>
      <c r="L31" s="35" t="s">
        <v>22</v>
      </c>
      <c r="M31" s="35" t="s">
        <v>23</v>
      </c>
      <c r="N31" s="35" t="s">
        <v>24</v>
      </c>
      <c r="O31" s="35" t="s">
        <v>25</v>
      </c>
      <c r="P31" s="35" t="s">
        <v>26</v>
      </c>
      <c r="Q31" s="35" t="s">
        <v>27</v>
      </c>
      <c r="R31" s="35" t="s">
        <v>28</v>
      </c>
    </row>
    <row r="33" spans="3:18" outlineLevel="1" x14ac:dyDescent="0.25">
      <c r="C33" s="37" t="s">
        <v>29</v>
      </c>
      <c r="D33" s="38" t="s">
        <v>30</v>
      </c>
      <c r="E33" s="39">
        <v>173.78100000000001</v>
      </c>
      <c r="F33" s="39">
        <v>272.27700000000004</v>
      </c>
      <c r="G33" s="39">
        <v>585.97900000000004</v>
      </c>
      <c r="H33" s="39">
        <v>872.423</v>
      </c>
      <c r="I33" s="39">
        <v>1176.8697723647181</v>
      </c>
      <c r="J33" s="39">
        <v>1553.258794387468</v>
      </c>
      <c r="K33" s="39">
        <v>1998.0287253028318</v>
      </c>
      <c r="L33" s="39">
        <v>2554.2752700963779</v>
      </c>
      <c r="M33" s="39">
        <v>3174.8281929278291</v>
      </c>
      <c r="N33" s="39">
        <v>3853.1789570082601</v>
      </c>
      <c r="O33" s="39">
        <v>4323.1000000000004</v>
      </c>
      <c r="P33" s="39">
        <v>4567.8</v>
      </c>
      <c r="Q33" s="39">
        <v>4701.2</v>
      </c>
      <c r="R33" s="39">
        <v>4814.5</v>
      </c>
    </row>
    <row r="34" spans="3:18" outlineLevel="1" x14ac:dyDescent="0.25">
      <c r="C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3:18" outlineLevel="1" x14ac:dyDescent="0.25">
      <c r="C35" s="10" t="s">
        <v>31</v>
      </c>
      <c r="D35" s="38" t="s">
        <v>30</v>
      </c>
      <c r="E35" s="42">
        <v>57.789000000000016</v>
      </c>
      <c r="F35" s="42">
        <v>127.83100000000002</v>
      </c>
      <c r="G35" s="42">
        <v>197.84399999999999</v>
      </c>
      <c r="H35" s="42">
        <v>340.31200000000001</v>
      </c>
      <c r="I35" s="42">
        <v>447.21051349859289</v>
      </c>
      <c r="J35" s="42">
        <v>590.23834186723786</v>
      </c>
      <c r="K35" s="42">
        <v>779.23120286810445</v>
      </c>
      <c r="L35" s="42">
        <v>996.16735533758742</v>
      </c>
      <c r="M35" s="42">
        <v>1269.9312771711318</v>
      </c>
      <c r="N35" s="42">
        <v>1541.2715828033042</v>
      </c>
      <c r="O35" s="42">
        <v>1729.2400000000002</v>
      </c>
      <c r="P35" s="42">
        <v>1827.1200000000001</v>
      </c>
      <c r="Q35" s="42">
        <v>1880.48</v>
      </c>
      <c r="R35" s="42">
        <v>1925.8000000000002</v>
      </c>
    </row>
    <row r="36" spans="3:18" outlineLevel="1" x14ac:dyDescent="0.25">
      <c r="C36" s="1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3:18" outlineLevel="1" x14ac:dyDescent="0.25">
      <c r="C37" s="10" t="s">
        <v>32</v>
      </c>
      <c r="D37" s="38" t="s">
        <v>30</v>
      </c>
      <c r="E37" s="44">
        <f t="shared" ref="E37:R37" si="0">-E35*Tax_Rate</f>
        <v>-14.447250000000004</v>
      </c>
      <c r="F37" s="44">
        <f t="shared" si="0"/>
        <v>-31.957750000000004</v>
      </c>
      <c r="G37" s="44">
        <f t="shared" si="0"/>
        <v>-49.460999999999999</v>
      </c>
      <c r="H37" s="44">
        <f t="shared" si="0"/>
        <v>-85.078000000000003</v>
      </c>
      <c r="I37" s="44">
        <f t="shared" si="0"/>
        <v>-111.80262837464822</v>
      </c>
      <c r="J37" s="44">
        <f t="shared" si="0"/>
        <v>-147.55958546680947</v>
      </c>
      <c r="K37" s="44">
        <f t="shared" si="0"/>
        <v>-194.80780071702611</v>
      </c>
      <c r="L37" s="44">
        <f t="shared" si="0"/>
        <v>-249.04183883439686</v>
      </c>
      <c r="M37" s="44">
        <f t="shared" si="0"/>
        <v>-317.48281929278295</v>
      </c>
      <c r="N37" s="44">
        <f t="shared" si="0"/>
        <v>-385.31789570082606</v>
      </c>
      <c r="O37" s="44">
        <f t="shared" si="0"/>
        <v>-432.31000000000006</v>
      </c>
      <c r="P37" s="44">
        <f t="shared" si="0"/>
        <v>-456.78000000000003</v>
      </c>
      <c r="Q37" s="44">
        <f t="shared" si="0"/>
        <v>-470.12</v>
      </c>
      <c r="R37" s="44">
        <f t="shared" si="0"/>
        <v>-481.45000000000005</v>
      </c>
    </row>
    <row r="38" spans="3:18" outlineLevel="1" x14ac:dyDescent="0.25">
      <c r="C38" s="1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3:18" outlineLevel="1" x14ac:dyDescent="0.25">
      <c r="C39" s="37" t="s">
        <v>33</v>
      </c>
      <c r="D39" s="38" t="s">
        <v>30</v>
      </c>
      <c r="E39" s="45">
        <f t="shared" ref="E39:R39" si="1">E35+E37</f>
        <v>43.341750000000012</v>
      </c>
      <c r="F39" s="45">
        <f t="shared" si="1"/>
        <v>95.873250000000013</v>
      </c>
      <c r="G39" s="45">
        <f t="shared" si="1"/>
        <v>148.38299999999998</v>
      </c>
      <c r="H39" s="45">
        <f t="shared" si="1"/>
        <v>255.23400000000001</v>
      </c>
      <c r="I39" s="45">
        <f t="shared" si="1"/>
        <v>335.40788512394465</v>
      </c>
      <c r="J39" s="45">
        <f t="shared" si="1"/>
        <v>442.67875640042837</v>
      </c>
      <c r="K39" s="45">
        <f t="shared" si="1"/>
        <v>584.42340215107834</v>
      </c>
      <c r="L39" s="45">
        <f t="shared" si="1"/>
        <v>747.12551650319051</v>
      </c>
      <c r="M39" s="45">
        <f t="shared" si="1"/>
        <v>952.44845787834879</v>
      </c>
      <c r="N39" s="45">
        <f t="shared" si="1"/>
        <v>1155.9536871024782</v>
      </c>
      <c r="O39" s="45">
        <f t="shared" si="1"/>
        <v>1296.9300000000003</v>
      </c>
      <c r="P39" s="45">
        <f t="shared" si="1"/>
        <v>1370.3400000000001</v>
      </c>
      <c r="Q39" s="45">
        <f t="shared" si="1"/>
        <v>1410.3600000000001</v>
      </c>
      <c r="R39" s="45">
        <f t="shared" si="1"/>
        <v>1444.3500000000001</v>
      </c>
    </row>
    <row r="40" spans="3:18" outlineLevel="1" x14ac:dyDescent="0.25">
      <c r="C40" s="1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outlineLevel="1" x14ac:dyDescent="0.25">
      <c r="C41" s="10" t="s">
        <v>55</v>
      </c>
      <c r="D41" s="38" t="s">
        <v>30</v>
      </c>
      <c r="E41" s="42">
        <v>5.3872109999999997</v>
      </c>
      <c r="F41" s="42">
        <v>8.9851410000000023</v>
      </c>
      <c r="G41" s="42">
        <v>14.649475000000002</v>
      </c>
      <c r="H41" s="42">
        <v>32.279651000000001</v>
      </c>
      <c r="I41" s="42">
        <v>42.367311805129859</v>
      </c>
      <c r="J41" s="42">
        <v>54.364057803561387</v>
      </c>
      <c r="K41" s="42">
        <v>67.932976660296291</v>
      </c>
      <c r="L41" s="42">
        <v>84.291083913180472</v>
      </c>
      <c r="M41" s="42">
        <v>101.59450217369053</v>
      </c>
      <c r="N41" s="42">
        <v>123.30172662426433</v>
      </c>
      <c r="O41" s="42">
        <v>138.33920000000001</v>
      </c>
      <c r="P41" s="42">
        <v>146.1696</v>
      </c>
      <c r="Q41" s="42">
        <v>150.4384</v>
      </c>
      <c r="R41" s="42">
        <v>154.06399999999999</v>
      </c>
    </row>
    <row r="42" spans="3:18" outlineLevel="1" x14ac:dyDescent="0.25">
      <c r="C42" s="10" t="s">
        <v>34</v>
      </c>
      <c r="D42" s="38" t="s">
        <v>30</v>
      </c>
      <c r="E42" s="42">
        <v>-5.8120000000000012</v>
      </c>
      <c r="F42" s="42">
        <v>-5.5157760000000016</v>
      </c>
      <c r="G42" s="42">
        <v>-13.175484000000001</v>
      </c>
      <c r="H42" s="42">
        <v>-23.774851999999999</v>
      </c>
      <c r="I42" s="42">
        <v>-24.660188561542164</v>
      </c>
      <c r="J42" s="42">
        <v>-28.981954695751746</v>
      </c>
      <c r="K42" s="42">
        <v>-32.023435025906203</v>
      </c>
      <c r="L42" s="42">
        <v>-37.824765045961136</v>
      </c>
      <c r="M42" s="42">
        <v>-39.09483413838143</v>
      </c>
      <c r="N42" s="42">
        <v>-40.701045844825856</v>
      </c>
      <c r="O42" s="42">
        <v>-28.195262579504416</v>
      </c>
      <c r="P42" s="42">
        <v>-14.681999999999988</v>
      </c>
      <c r="Q42" s="42">
        <v>-8.0039999999999782</v>
      </c>
      <c r="R42" s="42">
        <v>-6.7980000000000107</v>
      </c>
    </row>
    <row r="43" spans="3:18" outlineLevel="1" x14ac:dyDescent="0.25">
      <c r="C43" s="10" t="s">
        <v>35</v>
      </c>
      <c r="D43" s="38" t="s">
        <v>30</v>
      </c>
      <c r="E43" s="42">
        <v>-7.8201450000000001</v>
      </c>
      <c r="F43" s="42">
        <v>-11.163357</v>
      </c>
      <c r="G43" s="42">
        <v>-22.267202000000001</v>
      </c>
      <c r="H43" s="42">
        <v>-39.259034999999997</v>
      </c>
      <c r="I43" s="42">
        <v>-52.959139756412313</v>
      </c>
      <c r="J43" s="42">
        <v>-68.343386953048594</v>
      </c>
      <c r="K43" s="42">
        <v>-85.915235188021768</v>
      </c>
      <c r="L43" s="42">
        <v>-107.27956134404788</v>
      </c>
      <c r="M43" s="42">
        <v>-133.34278410296884</v>
      </c>
      <c r="N43" s="42">
        <v>-161.83351619434694</v>
      </c>
      <c r="O43" s="42">
        <v>-181.57020000000003</v>
      </c>
      <c r="P43" s="42">
        <v>-191.84760000000003</v>
      </c>
      <c r="Q43" s="42">
        <v>-197.4504</v>
      </c>
      <c r="R43" s="42">
        <v>-202.209</v>
      </c>
    </row>
    <row r="44" spans="3:18" outlineLevel="1" x14ac:dyDescent="0.25">
      <c r="C44" s="10"/>
      <c r="E44" s="44"/>
      <c r="F44" s="44"/>
      <c r="G44" s="44"/>
      <c r="H44" s="41"/>
      <c r="I44" s="41"/>
      <c r="J44" s="44"/>
      <c r="K44" s="44"/>
      <c r="L44" s="44"/>
      <c r="M44" s="44"/>
      <c r="N44" s="44"/>
      <c r="O44" s="44"/>
      <c r="P44" s="44"/>
      <c r="Q44" s="44"/>
      <c r="R44" s="44"/>
    </row>
    <row r="45" spans="3:18" x14ac:dyDescent="0.25">
      <c r="C45" s="50" t="s">
        <v>36</v>
      </c>
      <c r="D45" s="51" t="s">
        <v>30</v>
      </c>
      <c r="E45" s="52">
        <f t="shared" ref="E45:R45" si="2">E39+E41+E42+E43</f>
        <v>35.096816000000018</v>
      </c>
      <c r="F45" s="52">
        <f t="shared" si="2"/>
        <v>88.179258000000004</v>
      </c>
      <c r="G45" s="52">
        <f t="shared" si="2"/>
        <v>127.58978899999997</v>
      </c>
      <c r="H45" s="52">
        <f t="shared" si="2"/>
        <v>224.47976399999999</v>
      </c>
      <c r="I45" s="52">
        <f t="shared" si="2"/>
        <v>300.15586861112007</v>
      </c>
      <c r="J45" s="52">
        <f t="shared" si="2"/>
        <v>399.71747255518937</v>
      </c>
      <c r="K45" s="52">
        <f t="shared" si="2"/>
        <v>534.41770859744656</v>
      </c>
      <c r="L45" s="52">
        <f t="shared" si="2"/>
        <v>686.31227402636193</v>
      </c>
      <c r="M45" s="52">
        <f t="shared" si="2"/>
        <v>881.60534181068897</v>
      </c>
      <c r="N45" s="52">
        <f t="shared" si="2"/>
        <v>1076.7208516875698</v>
      </c>
      <c r="O45" s="52">
        <f t="shared" si="2"/>
        <v>1225.5037374204956</v>
      </c>
      <c r="P45" s="52">
        <f t="shared" si="2"/>
        <v>1309.98</v>
      </c>
      <c r="Q45" s="52">
        <f t="shared" si="2"/>
        <v>1355.3440000000003</v>
      </c>
      <c r="R45" s="52">
        <f t="shared" si="2"/>
        <v>1389.4070000000002</v>
      </c>
    </row>
    <row r="46" spans="3:18" x14ac:dyDescent="0.25"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3:18" x14ac:dyDescent="0.25">
      <c r="C47" s="50" t="s">
        <v>57</v>
      </c>
      <c r="D47" s="51" t="s">
        <v>30</v>
      </c>
      <c r="E47" s="52"/>
      <c r="F47" s="52"/>
      <c r="G47" s="52"/>
      <c r="H47" s="52"/>
      <c r="I47" s="63">
        <f>I45-D12</f>
        <v>200.10391240741339</v>
      </c>
      <c r="J47" s="63">
        <f>J45</f>
        <v>399.71747255518937</v>
      </c>
      <c r="K47" s="63">
        <f t="shared" ref="K47:R47" si="3">K45</f>
        <v>534.41770859744656</v>
      </c>
      <c r="L47" s="63">
        <f t="shared" si="3"/>
        <v>686.31227402636193</v>
      </c>
      <c r="M47" s="63">
        <f t="shared" si="3"/>
        <v>881.60534181068897</v>
      </c>
      <c r="N47" s="63">
        <f t="shared" si="3"/>
        <v>1076.7208516875698</v>
      </c>
      <c r="O47" s="63">
        <f t="shared" si="3"/>
        <v>1225.5037374204956</v>
      </c>
      <c r="P47" s="63">
        <f t="shared" si="3"/>
        <v>1309.98</v>
      </c>
      <c r="Q47" s="63">
        <f t="shared" si="3"/>
        <v>1355.3440000000003</v>
      </c>
      <c r="R47" s="63">
        <f t="shared" si="3"/>
        <v>1389.4070000000002</v>
      </c>
    </row>
    <row r="48" spans="3:18" x14ac:dyDescent="0.25"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3:18" outlineLevel="1" x14ac:dyDescent="0.25">
      <c r="C49" s="10" t="s">
        <v>48</v>
      </c>
      <c r="D49" s="38" t="s">
        <v>47</v>
      </c>
      <c r="E49" s="45"/>
      <c r="F49" s="45"/>
      <c r="G49" s="45"/>
      <c r="H49" s="45"/>
      <c r="I49" s="53">
        <f>Stub_Period</f>
        <v>0.67123287671232879</v>
      </c>
      <c r="J49" s="53">
        <f>I49+1</f>
        <v>1.6712328767123288</v>
      </c>
      <c r="K49" s="53">
        <f t="shared" ref="K49:R49" si="4">J49+1</f>
        <v>2.6712328767123288</v>
      </c>
      <c r="L49" s="53">
        <f t="shared" si="4"/>
        <v>3.6712328767123288</v>
      </c>
      <c r="M49" s="53">
        <f t="shared" si="4"/>
        <v>4.6712328767123292</v>
      </c>
      <c r="N49" s="53">
        <f t="shared" si="4"/>
        <v>5.6712328767123292</v>
      </c>
      <c r="O49" s="53">
        <f t="shared" si="4"/>
        <v>6.6712328767123292</v>
      </c>
      <c r="P49" s="53">
        <f t="shared" si="4"/>
        <v>7.6712328767123292</v>
      </c>
      <c r="Q49" s="53">
        <f t="shared" si="4"/>
        <v>8.6712328767123292</v>
      </c>
      <c r="R49" s="53">
        <f t="shared" si="4"/>
        <v>9.6712328767123292</v>
      </c>
    </row>
    <row r="50" spans="3:18" outlineLevel="1" x14ac:dyDescent="0.25">
      <c r="C50" s="37" t="s">
        <v>49</v>
      </c>
      <c r="D50" s="38" t="s">
        <v>30</v>
      </c>
      <c r="E50" s="45"/>
      <c r="F50" s="45"/>
      <c r="G50" s="45"/>
      <c r="H50" s="45"/>
      <c r="I50" s="45">
        <f t="shared" ref="I50:R50" si="5">I$47/((1+Discount_Rate)^I49)</f>
        <v>188.16265275386783</v>
      </c>
      <c r="J50" s="45">
        <f t="shared" si="5"/>
        <v>342.94180215601114</v>
      </c>
      <c r="K50" s="45">
        <f t="shared" si="5"/>
        <v>418.34788674016261</v>
      </c>
      <c r="L50" s="45">
        <f t="shared" si="5"/>
        <v>490.19395429010626</v>
      </c>
      <c r="M50" s="45">
        <f t="shared" si="5"/>
        <v>574.52620673493232</v>
      </c>
      <c r="N50" s="45">
        <f t="shared" si="5"/>
        <v>640.21847138591284</v>
      </c>
      <c r="O50" s="45">
        <f t="shared" si="5"/>
        <v>664.85840346608006</v>
      </c>
      <c r="P50" s="45">
        <f t="shared" si="5"/>
        <v>648.43826237417193</v>
      </c>
      <c r="Q50" s="45">
        <f t="shared" si="5"/>
        <v>612.12899519894313</v>
      </c>
      <c r="R50" s="45">
        <f t="shared" si="5"/>
        <v>572.54858073388311</v>
      </c>
    </row>
    <row r="51" spans="3:18" outlineLevel="1" x14ac:dyDescent="0.25">
      <c r="C51" s="37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3:18" x14ac:dyDescent="0.25">
      <c r="C52" s="10" t="s">
        <v>0</v>
      </c>
      <c r="D52" s="38" t="s">
        <v>47</v>
      </c>
      <c r="E52" s="45"/>
      <c r="F52" s="45"/>
      <c r="G52" s="45"/>
      <c r="H52" s="45"/>
      <c r="I52" s="53">
        <f>I49/2</f>
        <v>0.33561643835616439</v>
      </c>
      <c r="J52" s="53">
        <f>J49-0.5</f>
        <v>1.1712328767123288</v>
      </c>
      <c r="K52" s="53">
        <f t="shared" ref="K52:R52" si="6">K49-0.5</f>
        <v>2.1712328767123288</v>
      </c>
      <c r="L52" s="53">
        <f t="shared" si="6"/>
        <v>3.1712328767123288</v>
      </c>
      <c r="M52" s="53">
        <f t="shared" si="6"/>
        <v>4.1712328767123292</v>
      </c>
      <c r="N52" s="53">
        <f t="shared" si="6"/>
        <v>5.1712328767123292</v>
      </c>
      <c r="O52" s="53">
        <f t="shared" si="6"/>
        <v>6.1712328767123292</v>
      </c>
      <c r="P52" s="53">
        <f t="shared" si="6"/>
        <v>7.1712328767123292</v>
      </c>
      <c r="Q52" s="53">
        <f t="shared" si="6"/>
        <v>8.1712328767123292</v>
      </c>
      <c r="R52" s="53">
        <f t="shared" si="6"/>
        <v>9.1712328767123292</v>
      </c>
    </row>
    <row r="53" spans="3:18" x14ac:dyDescent="0.25">
      <c r="C53" s="37" t="s">
        <v>50</v>
      </c>
      <c r="D53" s="38" t="s">
        <v>30</v>
      </c>
      <c r="E53" s="45"/>
      <c r="F53" s="45"/>
      <c r="G53" s="45"/>
      <c r="H53" s="45"/>
      <c r="I53" s="45">
        <f t="shared" ref="I53:R53" si="7">I$47/((1+Discount_Rate)^I52)</f>
        <v>194.04144656491951</v>
      </c>
      <c r="J53" s="45">
        <f t="shared" si="7"/>
        <v>359.02583655490582</v>
      </c>
      <c r="K53" s="45">
        <f t="shared" si="7"/>
        <v>437.96848055150735</v>
      </c>
      <c r="L53" s="45">
        <f t="shared" si="7"/>
        <v>513.1841420518931</v>
      </c>
      <c r="M53" s="45">
        <f t="shared" si="7"/>
        <v>601.47159284446036</v>
      </c>
      <c r="N53" s="45">
        <f t="shared" si="7"/>
        <v>670.24483694368848</v>
      </c>
      <c r="O53" s="45">
        <f t="shared" si="7"/>
        <v>696.04038642795263</v>
      </c>
      <c r="P53" s="45">
        <f t="shared" si="7"/>
        <v>678.85013766034967</v>
      </c>
      <c r="Q53" s="45">
        <f t="shared" si="7"/>
        <v>640.83795909148614</v>
      </c>
      <c r="R53" s="45">
        <f t="shared" si="7"/>
        <v>599.40121581560106</v>
      </c>
    </row>
    <row r="54" spans="3:18" x14ac:dyDescent="0.25">
      <c r="C54" s="37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3:18" x14ac:dyDescent="0.25">
      <c r="C55" s="46" t="s">
        <v>37</v>
      </c>
      <c r="D55" s="38" t="s">
        <v>38</v>
      </c>
      <c r="E55" s="41" t="str">
        <f t="shared" ref="E55:R55" si="8">IFERROR(+E45/D45-1,"N/A")</f>
        <v>N/A</v>
      </c>
      <c r="F55" s="41">
        <f t="shared" si="8"/>
        <v>1.5124574833227027</v>
      </c>
      <c r="G55" s="41">
        <f t="shared" si="8"/>
        <v>0.44693652332615419</v>
      </c>
      <c r="H55" s="41">
        <f t="shared" si="8"/>
        <v>0.7593865916652629</v>
      </c>
      <c r="I55" s="41">
        <f t="shared" si="8"/>
        <v>0.33711771280693292</v>
      </c>
      <c r="J55" s="41">
        <f t="shared" si="8"/>
        <v>0.3316996745882741</v>
      </c>
      <c r="K55" s="41">
        <f t="shared" si="8"/>
        <v>0.33698861143393977</v>
      </c>
      <c r="L55" s="41">
        <f t="shared" si="8"/>
        <v>0.28422442405128256</v>
      </c>
      <c r="M55" s="41">
        <f t="shared" si="8"/>
        <v>0.2845542403585597</v>
      </c>
      <c r="N55" s="41">
        <f t="shared" si="8"/>
        <v>0.22131842971384685</v>
      </c>
      <c r="O55" s="41">
        <f t="shared" si="8"/>
        <v>0.13818148455074009</v>
      </c>
      <c r="P55" s="41">
        <f t="shared" si="8"/>
        <v>6.89318685859861E-2</v>
      </c>
      <c r="Q55" s="41">
        <f t="shared" si="8"/>
        <v>3.4629536328799171E-2</v>
      </c>
      <c r="R55" s="41">
        <f t="shared" si="8"/>
        <v>2.5132364919902228E-2</v>
      </c>
    </row>
    <row r="56" spans="3:18" x14ac:dyDescent="0.25">
      <c r="D56" s="3"/>
      <c r="E56" s="3"/>
      <c r="F56" s="3"/>
    </row>
    <row r="57" spans="3:18" x14ac:dyDescent="0.25">
      <c r="C57" s="47" t="s">
        <v>39</v>
      </c>
      <c r="D57" s="48" t="s">
        <v>30</v>
      </c>
      <c r="E57" s="58">
        <f t="shared" ref="E57:R57" si="9">E35+E41</f>
        <v>63.176211000000016</v>
      </c>
      <c r="F57" s="58">
        <f t="shared" si="9"/>
        <v>136.81614100000002</v>
      </c>
      <c r="G57" s="58">
        <f t="shared" si="9"/>
        <v>212.49347499999999</v>
      </c>
      <c r="H57" s="58">
        <f t="shared" si="9"/>
        <v>372.59165100000001</v>
      </c>
      <c r="I57" s="58">
        <f t="shared" si="9"/>
        <v>489.57782530372276</v>
      </c>
      <c r="J57" s="58">
        <f t="shared" si="9"/>
        <v>644.60239967079929</v>
      </c>
      <c r="K57" s="58">
        <f t="shared" si="9"/>
        <v>847.16417952840072</v>
      </c>
      <c r="L57" s="58">
        <f t="shared" si="9"/>
        <v>1080.4584392507679</v>
      </c>
      <c r="M57" s="58">
        <f t="shared" si="9"/>
        <v>1371.5257793448222</v>
      </c>
      <c r="N57" s="58">
        <f t="shared" si="9"/>
        <v>1664.5733094275686</v>
      </c>
      <c r="O57" s="58">
        <f t="shared" si="9"/>
        <v>1867.5792000000001</v>
      </c>
      <c r="P57" s="58">
        <f t="shared" si="9"/>
        <v>1973.2896000000001</v>
      </c>
      <c r="Q57" s="58">
        <f t="shared" si="9"/>
        <v>2030.9184</v>
      </c>
      <c r="R57" s="58">
        <f t="shared" si="9"/>
        <v>2079.864</v>
      </c>
    </row>
    <row r="58" spans="3:18" x14ac:dyDescent="0.25">
      <c r="C58" s="49" t="s">
        <v>40</v>
      </c>
      <c r="D58" s="38" t="s">
        <v>38</v>
      </c>
      <c r="E58" s="41" t="str">
        <f>IFERROR(+E57/D57-1,"N/A")</f>
        <v>N/A</v>
      </c>
      <c r="F58" s="41">
        <f t="shared" ref="F58:R58" si="10">IFERROR(+F57/E57-1,"N/A")</f>
        <v>1.1656275176110196</v>
      </c>
      <c r="G58" s="41">
        <f t="shared" si="10"/>
        <v>0.55313162209420863</v>
      </c>
      <c r="H58" s="41">
        <f t="shared" si="10"/>
        <v>0.75342631579628527</v>
      </c>
      <c r="I58" s="41">
        <f>IFERROR(+I57/H57-1,"N/A")</f>
        <v>0.31397959130255115</v>
      </c>
      <c r="J58" s="41">
        <f>IFERROR(+J57/I57-1,"N/A")</f>
        <v>0.31664950158006611</v>
      </c>
      <c r="K58" s="41">
        <f t="shared" si="10"/>
        <v>0.31424298134951156</v>
      </c>
      <c r="L58" s="41">
        <f t="shared" si="10"/>
        <v>0.27538258269163052</v>
      </c>
      <c r="M58" s="41">
        <f t="shared" si="10"/>
        <v>0.26939244446634314</v>
      </c>
      <c r="N58" s="41">
        <f t="shared" si="10"/>
        <v>0.21366534592061059</v>
      </c>
      <c r="O58" s="41">
        <f t="shared" si="10"/>
        <v>0.12195671372517891</v>
      </c>
      <c r="P58" s="41">
        <f t="shared" si="10"/>
        <v>5.6602900696259617E-2</v>
      </c>
      <c r="Q58" s="41">
        <f t="shared" si="10"/>
        <v>2.9204431017119781E-2</v>
      </c>
      <c r="R58" s="41">
        <f t="shared" si="10"/>
        <v>2.4100229728579947E-2</v>
      </c>
    </row>
    <row r="59" spans="3:18" x14ac:dyDescent="0.25">
      <c r="C59" s="49" t="s">
        <v>56</v>
      </c>
      <c r="D59" s="38" t="s">
        <v>38</v>
      </c>
      <c r="E59" s="41">
        <f t="shared" ref="E59:R59" si="11">E57/E33</f>
        <v>0.36353923041068942</v>
      </c>
      <c r="F59" s="41">
        <f t="shared" si="11"/>
        <v>0.50248879266335389</v>
      </c>
      <c r="G59" s="41">
        <f t="shared" si="11"/>
        <v>0.36262984680338367</v>
      </c>
      <c r="H59" s="41">
        <f t="shared" si="11"/>
        <v>0.42707683199548846</v>
      </c>
      <c r="I59" s="41">
        <f t="shared" si="11"/>
        <v>0.41600000000000004</v>
      </c>
      <c r="J59" s="41">
        <f t="shared" si="11"/>
        <v>0.41500000000000004</v>
      </c>
      <c r="K59" s="41">
        <f t="shared" si="11"/>
        <v>0.42399999999999999</v>
      </c>
      <c r="L59" s="41">
        <f t="shared" si="11"/>
        <v>0.42300000000000004</v>
      </c>
      <c r="M59" s="41">
        <f t="shared" si="11"/>
        <v>0.432</v>
      </c>
      <c r="N59" s="41">
        <f t="shared" si="11"/>
        <v>0.43200000000000005</v>
      </c>
      <c r="O59" s="41">
        <f t="shared" si="11"/>
        <v>0.432</v>
      </c>
      <c r="P59" s="41">
        <f t="shared" si="11"/>
        <v>0.432</v>
      </c>
      <c r="Q59" s="41">
        <f t="shared" si="11"/>
        <v>0.432</v>
      </c>
      <c r="R59" s="41">
        <f t="shared" si="11"/>
        <v>0.432</v>
      </c>
    </row>
  </sheetData>
  <phoneticPr fontId="29" type="noConversion"/>
  <dataValidations count="1">
    <dataValidation type="whole" allowBlank="1" showInputMessage="1" showErrorMessage="1" sqref="D8" xr:uid="{47398709-8E23-4EFB-A664-C70114E1FA5D}">
      <formula1>0</formula1>
      <formula2>1</formula2>
    </dataValidation>
  </dataValidation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Simple_DCF</vt:lpstr>
      <vt:lpstr>Cost_of_Debt</vt:lpstr>
      <vt:lpstr>Discount_Rate</vt:lpstr>
      <vt:lpstr>Equity_Risk_Premium</vt:lpstr>
      <vt:lpstr>Midyear</vt:lpstr>
      <vt:lpstr>Num_Years</vt:lpstr>
      <vt:lpstr>Simple_DCF!Print_Area</vt:lpstr>
      <vt:lpstr>Risk_Free_Rate</vt:lpstr>
      <vt:lpstr>Stub_Period</vt:lpstr>
      <vt:lpstr>Tax_Rate</vt:lpstr>
      <vt:lpstr>Terminal_Growth_Rate</vt:lpstr>
      <vt:lpstr>Terminal_Multiple</vt:lpstr>
      <vt:lpstr>Unlevered_Beta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2014-08-21T11:35:06Z</cp:lastPrinted>
  <dcterms:created xsi:type="dcterms:W3CDTF">2014-03-07T00:48:59Z</dcterms:created>
  <dcterms:modified xsi:type="dcterms:W3CDTF">2022-01-21T16:59:28Z</dcterms:modified>
</cp:coreProperties>
</file>