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D:\Dropbox (BIWS)\BIWS-All-Courses\10-Fundamentals-2017-2020-Revision\02-Accounting-Concepts\02-24-Free-Cash-Flow\"/>
    </mc:Choice>
  </mc:AlternateContent>
  <xr:revisionPtr revIDLastSave="0" documentId="13_ncr:1_{5C7D5C6E-54A0-49C4-8D6E-28B77422AC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GT_Model" sheetId="1" r:id="rId1"/>
    <sheet name="FCF_Examples" sheetId="2" r:id="rId2"/>
  </sheets>
  <definedNames>
    <definedName name="Company_Name">TGT_Model!$D$7</definedName>
    <definedName name="Hist_Yr">TGT_Model!$D$9</definedName>
    <definedName name="_xlnm.Print_Area" localSheetId="1">FCF_Examples!$A$1:$Q$45</definedName>
    <definedName name="_xlnm.Print_Area" localSheetId="0">TGT_Model!$A$1:$M$156</definedName>
  </definedNames>
  <calcPr calcId="191029" calcMode="autoNoTable" iterate="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2" l="1"/>
  <c r="P27" i="2"/>
  <c r="O28" i="2"/>
  <c r="P28" i="2"/>
  <c r="O30" i="2"/>
  <c r="P30" i="2"/>
  <c r="O31" i="2"/>
  <c r="P31" i="2"/>
  <c r="O33" i="2"/>
  <c r="P33" i="2"/>
  <c r="O34" i="2"/>
  <c r="P34" i="2"/>
  <c r="N34" i="2"/>
  <c r="N33" i="2"/>
  <c r="N10" i="2"/>
  <c r="O10" i="2"/>
  <c r="P10" i="2"/>
  <c r="M10" i="2"/>
  <c r="N31" i="2"/>
  <c r="N30" i="2"/>
  <c r="N28" i="2"/>
  <c r="N27" i="2"/>
  <c r="G26" i="2"/>
  <c r="H26" i="2"/>
  <c r="G27" i="2"/>
  <c r="H27" i="2"/>
  <c r="G29" i="2"/>
  <c r="H29" i="2"/>
  <c r="G30" i="2"/>
  <c r="H30" i="2"/>
  <c r="F30" i="2"/>
  <c r="F29" i="2"/>
  <c r="F27" i="2"/>
  <c r="F26" i="2"/>
  <c r="G24" i="2"/>
  <c r="H24" i="2"/>
  <c r="F24" i="2"/>
  <c r="G23" i="2"/>
  <c r="H23" i="2"/>
  <c r="F23" i="2"/>
  <c r="F10" i="2"/>
  <c r="G10" i="2"/>
  <c r="H10" i="2"/>
  <c r="E10" i="2"/>
  <c r="P107" i="1"/>
  <c r="Q107" i="1"/>
  <c r="R107" i="1"/>
  <c r="S107" i="1"/>
  <c r="T107" i="1"/>
  <c r="U107" i="1"/>
  <c r="V107" i="1"/>
  <c r="O107" i="1"/>
  <c r="O23" i="2" l="1"/>
  <c r="P23" i="2"/>
  <c r="N23" i="2"/>
  <c r="G19" i="2"/>
  <c r="H19" i="2"/>
  <c r="F19" i="2"/>
  <c r="H74" i="1" l="1"/>
  <c r="I146" i="1"/>
  <c r="J146" i="1"/>
  <c r="K146" i="1"/>
  <c r="L146" i="1"/>
  <c r="I147" i="1"/>
  <c r="J147" i="1"/>
  <c r="K147" i="1"/>
  <c r="L147" i="1"/>
  <c r="H147" i="1"/>
  <c r="H146" i="1"/>
  <c r="H106" i="1" s="1"/>
  <c r="I142" i="1"/>
  <c r="J142" i="1"/>
  <c r="K142" i="1"/>
  <c r="L142" i="1"/>
  <c r="H142" i="1"/>
  <c r="H94" i="1" s="1"/>
  <c r="H58" i="1"/>
  <c r="I94" i="1" l="1"/>
  <c r="J94" i="1" s="1"/>
  <c r="I74" i="1"/>
  <c r="I106" i="1"/>
  <c r="H59" i="1"/>
  <c r="I58" i="1"/>
  <c r="F21" i="1"/>
  <c r="G21" i="1"/>
  <c r="E21" i="1"/>
  <c r="G20" i="1"/>
  <c r="F53" i="1"/>
  <c r="G53" i="1"/>
  <c r="E53" i="1"/>
  <c r="G45" i="1"/>
  <c r="F45" i="1"/>
  <c r="E45" i="1"/>
  <c r="G44" i="1"/>
  <c r="F44" i="1"/>
  <c r="E44" i="1"/>
  <c r="F37" i="1"/>
  <c r="G37" i="1"/>
  <c r="E37" i="1"/>
  <c r="G51" i="1"/>
  <c r="F51" i="1"/>
  <c r="E51" i="1"/>
  <c r="G48" i="1"/>
  <c r="F48" i="1"/>
  <c r="E48" i="1"/>
  <c r="G47" i="1"/>
  <c r="F47" i="1"/>
  <c r="E47" i="1"/>
  <c r="B2" i="1"/>
  <c r="F30" i="1"/>
  <c r="G30" i="1"/>
  <c r="F29" i="1"/>
  <c r="G29" i="1"/>
  <c r="E29" i="1"/>
  <c r="G27" i="1"/>
  <c r="F27" i="1"/>
  <c r="E27" i="1"/>
  <c r="H27" i="1" s="1"/>
  <c r="I27" i="1" s="1"/>
  <c r="J27" i="1" s="1"/>
  <c r="K27" i="1" s="1"/>
  <c r="L27" i="1" s="1"/>
  <c r="F18" i="1"/>
  <c r="G18" i="1"/>
  <c r="E18" i="1"/>
  <c r="G14" i="1"/>
  <c r="F14" i="1"/>
  <c r="E103" i="1"/>
  <c r="E106" i="1"/>
  <c r="E110" i="1" s="1"/>
  <c r="E95" i="1"/>
  <c r="E89" i="1"/>
  <c r="G68" i="1"/>
  <c r="E68" i="1"/>
  <c r="F68" i="1"/>
  <c r="F20" i="1" l="1"/>
  <c r="H18" i="1"/>
  <c r="H44" i="1"/>
  <c r="H51" i="1"/>
  <c r="H21" i="1"/>
  <c r="K94" i="1"/>
  <c r="L94" i="1" s="1"/>
  <c r="H88" i="1"/>
  <c r="H37" i="1"/>
  <c r="J58" i="1"/>
  <c r="I59" i="1"/>
  <c r="I88" i="1"/>
  <c r="J106" i="1"/>
  <c r="J74" i="1"/>
  <c r="H53" i="1"/>
  <c r="E112" i="1"/>
  <c r="E116" i="1" s="1"/>
  <c r="E97" i="1"/>
  <c r="F39" i="1"/>
  <c r="G39" i="1"/>
  <c r="E39" i="1"/>
  <c r="H75" i="1" l="1"/>
  <c r="H76" i="1" s="1"/>
  <c r="I21" i="1"/>
  <c r="I37" i="1"/>
  <c r="H129" i="1"/>
  <c r="H109" i="1" s="1"/>
  <c r="I51" i="1"/>
  <c r="H149" i="1"/>
  <c r="H134" i="1"/>
  <c r="I134" i="1"/>
  <c r="K106" i="1"/>
  <c r="K74" i="1"/>
  <c r="I44" i="1"/>
  <c r="H141" i="1"/>
  <c r="I53" i="1"/>
  <c r="H150" i="1"/>
  <c r="H39" i="1"/>
  <c r="I39" i="1" s="1"/>
  <c r="J39" i="1" s="1"/>
  <c r="K39" i="1" s="1"/>
  <c r="L39" i="1" s="1"/>
  <c r="J88" i="1"/>
  <c r="K58" i="1"/>
  <c r="J59" i="1"/>
  <c r="I18" i="1"/>
  <c r="H67" i="1"/>
  <c r="H126" i="1" s="1"/>
  <c r="F38" i="1"/>
  <c r="G38" i="1"/>
  <c r="E38" i="1"/>
  <c r="F33" i="1"/>
  <c r="G33" i="1"/>
  <c r="F32" i="1"/>
  <c r="G32" i="1"/>
  <c r="E32" i="1"/>
  <c r="F26" i="1"/>
  <c r="G26" i="1"/>
  <c r="E26" i="1"/>
  <c r="H26" i="1" s="1"/>
  <c r="I26" i="1" s="1"/>
  <c r="J26" i="1" s="1"/>
  <c r="K26" i="1" s="1"/>
  <c r="L26" i="1" s="1"/>
  <c r="J51" i="1" l="1"/>
  <c r="I149" i="1"/>
  <c r="J44" i="1"/>
  <c r="I141" i="1"/>
  <c r="J37" i="1"/>
  <c r="I129" i="1"/>
  <c r="I109" i="1" s="1"/>
  <c r="K88" i="1"/>
  <c r="K134" i="1" s="1"/>
  <c r="L58" i="1"/>
  <c r="K59" i="1"/>
  <c r="L106" i="1"/>
  <c r="L74" i="1"/>
  <c r="J21" i="1"/>
  <c r="I75" i="1"/>
  <c r="I76" i="1" s="1"/>
  <c r="J18" i="1"/>
  <c r="I67" i="1"/>
  <c r="J53" i="1"/>
  <c r="I150" i="1"/>
  <c r="H32" i="1"/>
  <c r="I32" i="1" s="1"/>
  <c r="J32" i="1" s="1"/>
  <c r="K32" i="1" s="1"/>
  <c r="L32" i="1" s="1"/>
  <c r="J134" i="1"/>
  <c r="F41" i="1"/>
  <c r="G41" i="1"/>
  <c r="E41" i="1"/>
  <c r="E42" i="1" s="1"/>
  <c r="G151" i="1"/>
  <c r="F151" i="1"/>
  <c r="G126" i="1"/>
  <c r="F126" i="1"/>
  <c r="E126" i="1"/>
  <c r="G110" i="1"/>
  <c r="F110" i="1"/>
  <c r="G103" i="1"/>
  <c r="F103" i="1"/>
  <c r="G95" i="1"/>
  <c r="F95" i="1"/>
  <c r="G89" i="1"/>
  <c r="F89" i="1"/>
  <c r="F76" i="1"/>
  <c r="G76" i="1"/>
  <c r="E76" i="1"/>
  <c r="K37" i="1" l="1"/>
  <c r="J129" i="1"/>
  <c r="J109" i="1" s="1"/>
  <c r="K21" i="1"/>
  <c r="J75" i="1"/>
  <c r="J76" i="1" s="1"/>
  <c r="K44" i="1"/>
  <c r="J141" i="1"/>
  <c r="L88" i="1"/>
  <c r="L134" i="1" s="1"/>
  <c r="L59" i="1"/>
  <c r="K18" i="1"/>
  <c r="J67" i="1"/>
  <c r="J126" i="1" s="1"/>
  <c r="K51" i="1"/>
  <c r="J149" i="1"/>
  <c r="K53" i="1"/>
  <c r="J150" i="1"/>
  <c r="I126" i="1"/>
  <c r="E33" i="1"/>
  <c r="H33" i="1" s="1"/>
  <c r="I33" i="1" s="1"/>
  <c r="J33" i="1" s="1"/>
  <c r="K33" i="1" s="1"/>
  <c r="L33" i="1" s="1"/>
  <c r="E143" i="1"/>
  <c r="E63" i="1"/>
  <c r="E16" i="1" s="1"/>
  <c r="F143" i="1"/>
  <c r="G63" i="1"/>
  <c r="G16" i="1" s="1"/>
  <c r="G143" i="1"/>
  <c r="F63" i="1"/>
  <c r="F16" i="1" s="1"/>
  <c r="G42" i="1"/>
  <c r="H42" i="1" s="1"/>
  <c r="F42" i="1"/>
  <c r="E17" i="1"/>
  <c r="E151" i="1"/>
  <c r="G17" i="1"/>
  <c r="F17" i="1"/>
  <c r="G112" i="1"/>
  <c r="G116" i="1" s="1"/>
  <c r="F97" i="1"/>
  <c r="G97" i="1"/>
  <c r="F112" i="1"/>
  <c r="F116" i="1" s="1"/>
  <c r="G59" i="1"/>
  <c r="E59" i="1"/>
  <c r="F59" i="1"/>
  <c r="I42" i="1" l="1"/>
  <c r="H41" i="1"/>
  <c r="H140" i="1" s="1"/>
  <c r="L53" i="1"/>
  <c r="L150" i="1" s="1"/>
  <c r="K150" i="1"/>
  <c r="L21" i="1"/>
  <c r="L75" i="1" s="1"/>
  <c r="L76" i="1" s="1"/>
  <c r="K75" i="1"/>
  <c r="K76" i="1" s="1"/>
  <c r="L44" i="1"/>
  <c r="L141" i="1" s="1"/>
  <c r="K141" i="1"/>
  <c r="H16" i="1"/>
  <c r="L51" i="1"/>
  <c r="L149" i="1" s="1"/>
  <c r="K149" i="1"/>
  <c r="L37" i="1"/>
  <c r="L129" i="1" s="1"/>
  <c r="K129" i="1"/>
  <c r="K109" i="1" s="1"/>
  <c r="L109" i="1" s="1"/>
  <c r="H17" i="1"/>
  <c r="L18" i="1"/>
  <c r="L67" i="1" s="1"/>
  <c r="L126" i="1" s="1"/>
  <c r="K67" i="1"/>
  <c r="K126" i="1" s="1"/>
  <c r="E70" i="1"/>
  <c r="E78" i="1" s="1"/>
  <c r="G70" i="1"/>
  <c r="G78" i="1" s="1"/>
  <c r="F70" i="1"/>
  <c r="F78" i="1" s="1"/>
  <c r="I17" i="1" l="1"/>
  <c r="H66" i="1"/>
  <c r="H143" i="1"/>
  <c r="H92" i="1"/>
  <c r="I16" i="1"/>
  <c r="H61" i="1"/>
  <c r="J42" i="1"/>
  <c r="I41" i="1"/>
  <c r="I140" i="1" s="1"/>
  <c r="I143" i="1" s="1"/>
  <c r="E71" i="1"/>
  <c r="F71" i="1"/>
  <c r="G71" i="1"/>
  <c r="G80" i="1"/>
  <c r="G50" i="1" s="1"/>
  <c r="G23" i="1"/>
  <c r="E80" i="1"/>
  <c r="E50" i="1" s="1"/>
  <c r="E23" i="1"/>
  <c r="H23" i="1" s="1"/>
  <c r="I23" i="1" s="1"/>
  <c r="J23" i="1" s="1"/>
  <c r="K23" i="1" s="1"/>
  <c r="L23" i="1" s="1"/>
  <c r="F80" i="1"/>
  <c r="F50" i="1" s="1"/>
  <c r="F23" i="1"/>
  <c r="J16" i="1" l="1"/>
  <c r="I61" i="1"/>
  <c r="I92" i="1"/>
  <c r="H102" i="1"/>
  <c r="H136" i="1" s="1"/>
  <c r="H127" i="1"/>
  <c r="H93" i="1"/>
  <c r="H68" i="1"/>
  <c r="J17" i="1"/>
  <c r="I66" i="1"/>
  <c r="K42" i="1"/>
  <c r="J41" i="1"/>
  <c r="J140" i="1" s="1"/>
  <c r="J143" i="1" s="1"/>
  <c r="H101" i="1"/>
  <c r="H87" i="1"/>
  <c r="H63" i="1"/>
  <c r="H70" i="1" s="1"/>
  <c r="F124" i="1"/>
  <c r="F137" i="1" s="1"/>
  <c r="F153" i="1" s="1"/>
  <c r="E124" i="1"/>
  <c r="E137" i="1" s="1"/>
  <c r="G124" i="1"/>
  <c r="G137" i="1" s="1"/>
  <c r="G153" i="1" s="1"/>
  <c r="H71" i="1" l="1"/>
  <c r="H78" i="1"/>
  <c r="H103" i="1"/>
  <c r="H135" i="1"/>
  <c r="J92" i="1"/>
  <c r="I95" i="1"/>
  <c r="I63" i="1"/>
  <c r="I70" i="1" s="1"/>
  <c r="I101" i="1"/>
  <c r="I87" i="1"/>
  <c r="H130" i="1"/>
  <c r="H30" i="1"/>
  <c r="H107" i="1" s="1"/>
  <c r="I133" i="1"/>
  <c r="H133" i="1"/>
  <c r="L42" i="1"/>
  <c r="L41" i="1" s="1"/>
  <c r="L140" i="1" s="1"/>
  <c r="L143" i="1" s="1"/>
  <c r="K41" i="1"/>
  <c r="K140" i="1" s="1"/>
  <c r="K143" i="1" s="1"/>
  <c r="H95" i="1"/>
  <c r="I93" i="1"/>
  <c r="I102" i="1"/>
  <c r="I136" i="1" s="1"/>
  <c r="I127" i="1"/>
  <c r="I68" i="1"/>
  <c r="K17" i="1"/>
  <c r="J66" i="1"/>
  <c r="K16" i="1"/>
  <c r="J61" i="1"/>
  <c r="E153" i="1"/>
  <c r="E155" i="1" s="1"/>
  <c r="F154" i="1" s="1"/>
  <c r="F155" i="1" s="1"/>
  <c r="G154" i="1" s="1"/>
  <c r="G155" i="1" s="1"/>
  <c r="H154" i="1" s="1"/>
  <c r="J68" i="1" l="1"/>
  <c r="J93" i="1"/>
  <c r="J127" i="1"/>
  <c r="J102" i="1"/>
  <c r="J136" i="1" s="1"/>
  <c r="K92" i="1"/>
  <c r="J95" i="1"/>
  <c r="L16" i="1"/>
  <c r="L61" i="1" s="1"/>
  <c r="K61" i="1"/>
  <c r="I103" i="1"/>
  <c r="I135" i="1"/>
  <c r="L17" i="1"/>
  <c r="L66" i="1" s="1"/>
  <c r="K66" i="1"/>
  <c r="H131" i="1"/>
  <c r="H110" i="1"/>
  <c r="H112" i="1" s="1"/>
  <c r="I71" i="1"/>
  <c r="I78" i="1"/>
  <c r="I30" i="1"/>
  <c r="I107" i="1" s="1"/>
  <c r="I130" i="1"/>
  <c r="H79" i="1"/>
  <c r="H128" i="1" s="1"/>
  <c r="H108" i="1" s="1"/>
  <c r="H80" i="1"/>
  <c r="J101" i="1"/>
  <c r="J87" i="1"/>
  <c r="J63" i="1"/>
  <c r="J70" i="1" s="1"/>
  <c r="D121" i="1"/>
  <c r="H120" i="1"/>
  <c r="E120" i="1"/>
  <c r="D83" i="1"/>
  <c r="H82" i="1"/>
  <c r="E82" i="1"/>
  <c r="D56" i="1"/>
  <c r="E55" i="1"/>
  <c r="H55" i="1"/>
  <c r="L63" i="1" l="1"/>
  <c r="L101" i="1"/>
  <c r="L87" i="1"/>
  <c r="H124" i="1"/>
  <c r="H148" i="1"/>
  <c r="H151" i="1" s="1"/>
  <c r="L92" i="1"/>
  <c r="L95" i="1" s="1"/>
  <c r="K95" i="1"/>
  <c r="J71" i="1"/>
  <c r="J78" i="1"/>
  <c r="K68" i="1"/>
  <c r="K93" i="1"/>
  <c r="K130" i="1" s="1"/>
  <c r="K127" i="1"/>
  <c r="K102" i="1"/>
  <c r="K136" i="1" s="1"/>
  <c r="I79" i="1"/>
  <c r="I128" i="1" s="1"/>
  <c r="I108" i="1" s="1"/>
  <c r="J135" i="1"/>
  <c r="J103" i="1"/>
  <c r="L68" i="1"/>
  <c r="L127" i="1"/>
  <c r="L93" i="1"/>
  <c r="L30" i="1" s="1"/>
  <c r="L102" i="1"/>
  <c r="I131" i="1"/>
  <c r="J30" i="1"/>
  <c r="J107" i="1" s="1"/>
  <c r="K63" i="1"/>
  <c r="K70" i="1" s="1"/>
  <c r="K101" i="1"/>
  <c r="K87" i="1"/>
  <c r="J133" i="1"/>
  <c r="J130" i="1"/>
  <c r="G12" i="1"/>
  <c r="L136" i="1" l="1"/>
  <c r="L133" i="1"/>
  <c r="I110" i="1"/>
  <c r="I112" i="1" s="1"/>
  <c r="J131" i="1"/>
  <c r="H114" i="1"/>
  <c r="H137" i="1"/>
  <c r="H153" i="1" s="1"/>
  <c r="H155" i="1" s="1"/>
  <c r="K103" i="1"/>
  <c r="K135" i="1"/>
  <c r="K71" i="1"/>
  <c r="K78" i="1"/>
  <c r="L103" i="1"/>
  <c r="L135" i="1"/>
  <c r="K133" i="1"/>
  <c r="L130" i="1"/>
  <c r="K30" i="1"/>
  <c r="K107" i="1" s="1"/>
  <c r="I80" i="1"/>
  <c r="J79" i="1"/>
  <c r="J128" i="1" s="1"/>
  <c r="J108" i="1" s="1"/>
  <c r="J80" i="1"/>
  <c r="L70" i="1"/>
  <c r="H12" i="1"/>
  <c r="G83" i="1"/>
  <c r="G56" i="1"/>
  <c r="G121" i="1"/>
  <c r="F12" i="1"/>
  <c r="J110" i="1" l="1"/>
  <c r="J112" i="1" s="1"/>
  <c r="L107" i="1"/>
  <c r="L131" i="1" s="1"/>
  <c r="K131" i="1"/>
  <c r="L71" i="1"/>
  <c r="L78" i="1"/>
  <c r="J148" i="1"/>
  <c r="J151" i="1" s="1"/>
  <c r="J124" i="1"/>
  <c r="J137" i="1" s="1"/>
  <c r="K79" i="1"/>
  <c r="K128" i="1" s="1"/>
  <c r="K108" i="1" s="1"/>
  <c r="I154" i="1"/>
  <c r="H86" i="1"/>
  <c r="H116" i="1"/>
  <c r="I124" i="1"/>
  <c r="I137" i="1" s="1"/>
  <c r="I148" i="1"/>
  <c r="I151" i="1" s="1"/>
  <c r="I12" i="1"/>
  <c r="H83" i="1"/>
  <c r="H56" i="1"/>
  <c r="H121" i="1"/>
  <c r="E12" i="1"/>
  <c r="F83" i="1"/>
  <c r="F56" i="1"/>
  <c r="F121" i="1"/>
  <c r="I114" i="1" l="1"/>
  <c r="I116" i="1" s="1"/>
  <c r="H89" i="1"/>
  <c r="H97" i="1" s="1"/>
  <c r="H118" i="1" s="1"/>
  <c r="K110" i="1"/>
  <c r="K112" i="1" s="1"/>
  <c r="L79" i="1"/>
  <c r="L128" i="1" s="1"/>
  <c r="L108" i="1" s="1"/>
  <c r="L110" i="1" s="1"/>
  <c r="L112" i="1" s="1"/>
  <c r="I155" i="1"/>
  <c r="K80" i="1"/>
  <c r="J114" i="1"/>
  <c r="I153" i="1"/>
  <c r="J153" i="1"/>
  <c r="J12" i="1"/>
  <c r="I56" i="1"/>
  <c r="I121" i="1"/>
  <c r="I83" i="1"/>
  <c r="E121" i="1"/>
  <c r="E83" i="1"/>
  <c r="E56" i="1"/>
  <c r="J154" i="1" l="1"/>
  <c r="J155" i="1" s="1"/>
  <c r="I86" i="1"/>
  <c r="L80" i="1"/>
  <c r="J116" i="1"/>
  <c r="K148" i="1"/>
  <c r="K151" i="1" s="1"/>
  <c r="K124" i="1"/>
  <c r="K137" i="1" s="1"/>
  <c r="K153" i="1" s="1"/>
  <c r="K12" i="1"/>
  <c r="J83" i="1"/>
  <c r="J121" i="1"/>
  <c r="J56" i="1"/>
  <c r="I89" i="1" l="1"/>
  <c r="I97" i="1" s="1"/>
  <c r="I118" i="1" s="1"/>
  <c r="K114" i="1"/>
  <c r="L148" i="1"/>
  <c r="L151" i="1" s="1"/>
  <c r="L124" i="1"/>
  <c r="L137" i="1" s="1"/>
  <c r="L153" i="1" s="1"/>
  <c r="J86" i="1"/>
  <c r="K154" i="1"/>
  <c r="K155" i="1" s="1"/>
  <c r="L12" i="1"/>
  <c r="K56" i="1"/>
  <c r="K121" i="1"/>
  <c r="K83" i="1"/>
  <c r="J89" i="1" l="1"/>
  <c r="J97" i="1" s="1"/>
  <c r="J118" i="1" s="1"/>
  <c r="L154" i="1"/>
  <c r="L155" i="1" s="1"/>
  <c r="L86" i="1" s="1"/>
  <c r="K86" i="1"/>
  <c r="L114" i="1"/>
  <c r="L116" i="1" s="1"/>
  <c r="K116" i="1"/>
  <c r="L121" i="1"/>
  <c r="L83" i="1"/>
  <c r="L56" i="1"/>
  <c r="E118" i="1"/>
  <c r="L89" i="1" l="1"/>
  <c r="L97" i="1" s="1"/>
  <c r="L118" i="1" s="1"/>
  <c r="K89" i="1"/>
  <c r="K97" i="1" s="1"/>
  <c r="K118" i="1"/>
  <c r="G118" i="1"/>
  <c r="F118" i="1"/>
</calcChain>
</file>

<file path=xl/sharedStrings.xml><?xml version="1.0" encoding="utf-8"?>
<sst xmlns="http://schemas.openxmlformats.org/spreadsheetml/2006/main" count="310" uniqueCount="186">
  <si>
    <t>General Assumptions:</t>
  </si>
  <si>
    <t>Company Name:</t>
  </si>
  <si>
    <t>Ticker:</t>
  </si>
  <si>
    <t>Last Historical Year:</t>
  </si>
  <si>
    <t>($ in Millions Except Per Share and Per Unit Data)</t>
  </si>
  <si>
    <t>Historical</t>
  </si>
  <si>
    <t>Projected</t>
  </si>
  <si>
    <t>Income Statement:</t>
  </si>
  <si>
    <t>Gross Profit:</t>
  </si>
  <si>
    <t>Net Income:</t>
  </si>
  <si>
    <t>Balance Sheet:</t>
  </si>
  <si>
    <t>Cash &amp; Equivalents:</t>
  </si>
  <si>
    <t>Inventory:</t>
  </si>
  <si>
    <t>Total Current Assets:</t>
  </si>
  <si>
    <t>Other Long-Term Assets:</t>
  </si>
  <si>
    <t>Total Assets:</t>
  </si>
  <si>
    <t>Accounts Payable:</t>
  </si>
  <si>
    <t>Total Current Liabilities:</t>
  </si>
  <si>
    <t>Other Long-Term Liabilities:</t>
  </si>
  <si>
    <t>Total Liabilities:</t>
  </si>
  <si>
    <t>Cash Flow Statement:</t>
  </si>
  <si>
    <t>Gross Margin:</t>
  </si>
  <si>
    <t>Revenue Growth:</t>
  </si>
  <si>
    <t>Total Revenue:</t>
  </si>
  <si>
    <t>Other Income / (Expense):</t>
  </si>
  <si>
    <t>Total Other Income / (Expense):</t>
  </si>
  <si>
    <t>Pre-Tax Income:</t>
  </si>
  <si>
    <t>ASSETS:</t>
  </si>
  <si>
    <t>Current Assets:</t>
  </si>
  <si>
    <t>Non-Current Assets:</t>
  </si>
  <si>
    <t>Total Non-Current Assets:</t>
  </si>
  <si>
    <t>LIABILITIES AND EQUITY:</t>
  </si>
  <si>
    <t>Current Liabilities:</t>
  </si>
  <si>
    <t>Non-Current Liabilities:</t>
  </si>
  <si>
    <t>Balance Check:</t>
  </si>
  <si>
    <t>CASH FLOWS FROM OPERATING ACTIVITIES:</t>
  </si>
  <si>
    <t/>
  </si>
  <si>
    <t>Adjustments for Non-Cash Charges:</t>
  </si>
  <si>
    <t>(+) Stock-Based Compensation:</t>
  </si>
  <si>
    <t>Changes in Operating Assets and Liabilities:</t>
  </si>
  <si>
    <t>Net Cash Provided by Operating Activities:</t>
  </si>
  <si>
    <t>CASH FLOWS FROM INVESTING ACTIVITIES:</t>
  </si>
  <si>
    <t>Net Cash Used in Investing Activities:</t>
  </si>
  <si>
    <t>CASH FLOWS FROM FINANCING ACTIVITIES:</t>
  </si>
  <si>
    <t>Net Cash Provided by Financing Activities:</t>
  </si>
  <si>
    <t>Beginning Cash:</t>
  </si>
  <si>
    <t>Ending Cash:</t>
  </si>
  <si>
    <t>Financial Statement Drivers:</t>
  </si>
  <si>
    <t>Units:</t>
  </si>
  <si>
    <t>%</t>
  </si>
  <si>
    <t>Effective Tax Rate:</t>
  </si>
  <si>
    <t>Total Liabilities &amp; Equity:</t>
  </si>
  <si>
    <t>(-) Dividends Paid:</t>
  </si>
  <si>
    <t>(-) Provision For Income Taxes:</t>
  </si>
  <si>
    <t>Operating Expenses:</t>
  </si>
  <si>
    <t>Total Operating Expenses:</t>
  </si>
  <si>
    <t>SG&amp;A % Revenue:</t>
  </si>
  <si>
    <t>$ M</t>
  </si>
  <si>
    <t>Capital Expenditures:</t>
  </si>
  <si>
    <t>Stock Repurchases:</t>
  </si>
  <si>
    <t>(-) Stock Repurchases:</t>
  </si>
  <si>
    <t>Net PP&amp;E:</t>
  </si>
  <si>
    <t>Dividends % Net Income:</t>
  </si>
  <si>
    <t>(+/-) Deferred Taxes:</t>
  </si>
  <si>
    <t>Change in Cash &amp; Cash Equivalents:</t>
  </si>
  <si>
    <t>(-) Capital Expenditures:</t>
  </si>
  <si>
    <t>Total Non-Current Liabilities:</t>
  </si>
  <si>
    <t>Cost of Sales:</t>
  </si>
  <si>
    <t>Selling, General &amp; Administrative:</t>
  </si>
  <si>
    <t>Accrued Liabilities:</t>
  </si>
  <si>
    <t>(+/-) Other Items:</t>
  </si>
  <si>
    <t>Deferred Taxes % Book Taxes:</t>
  </si>
  <si>
    <t>% Change in Revenue:</t>
  </si>
  <si>
    <t>(+) Debt Issuances:</t>
  </si>
  <si>
    <t>Total Debt:</t>
  </si>
  <si>
    <t>Inventory % Cost of Sales:</t>
  </si>
  <si>
    <t>Accounts Payable % Cost of Sales:</t>
  </si>
  <si>
    <t>Accrued Liabilities % SG&amp;A:</t>
  </si>
  <si>
    <t>Stock-Based Compensation % SG&amp;A:</t>
  </si>
  <si>
    <t>Operating Income:</t>
  </si>
  <si>
    <t>Operating Margin:</t>
  </si>
  <si>
    <t>Depreciation &amp; Amortization:</t>
  </si>
  <si>
    <t>(-) Net Interest Expense:</t>
  </si>
  <si>
    <t>(+) Depreciation &amp; Amortization:</t>
  </si>
  <si>
    <t>Other Current Assets:</t>
  </si>
  <si>
    <t>Operating Lease Assets:</t>
  </si>
  <si>
    <t>Operating Lease Liabilities:</t>
  </si>
  <si>
    <t>Deferred Tax Liabilities:</t>
  </si>
  <si>
    <t>Common Shareholders' Equity:</t>
  </si>
  <si>
    <t>(+) Proceeds from PP&amp;E Disposals:</t>
  </si>
  <si>
    <t>(+/-) Acquisitions and Other Investments:</t>
  </si>
  <si>
    <t>(-) Debt Repayments:</t>
  </si>
  <si>
    <t>(+) Stock Option Exercises:</t>
  </si>
  <si>
    <t>Total Revenue Growth:</t>
  </si>
  <si>
    <t>D&amp;A % Revenue:</t>
  </si>
  <si>
    <t>TGT</t>
  </si>
  <si>
    <t>(+) Other Income / (-) Expense:</t>
  </si>
  <si>
    <t>Other Current Assets % Revenue:</t>
  </si>
  <si>
    <t>Operating Lease Assets % SG&amp;A:</t>
  </si>
  <si>
    <t>Change in Op. Lease Assets/Liabilities:</t>
  </si>
  <si>
    <t>(+/-) Change in Op. Lease Assets:</t>
  </si>
  <si>
    <t>(+/-) Change in Op. Lease Liabilities:</t>
  </si>
  <si>
    <t>Debt Issuances:</t>
  </si>
  <si>
    <t>Debt Repayments:</t>
  </si>
  <si>
    <t>Other Items % Revenue:</t>
  </si>
  <si>
    <t>Proceeds from PP&amp;E Disposals:</t>
  </si>
  <si>
    <t>Acquisitions and Other Investments:</t>
  </si>
  <si>
    <t>Stock Option Exercises:</t>
  </si>
  <si>
    <t>Effective Interest Rate on Debt:</t>
  </si>
  <si>
    <t>Other Income / Expense:</t>
  </si>
  <si>
    <t>Target Corporation</t>
  </si>
  <si>
    <t>Company Value = Cash Flow / (Discount Rate - Cash Flow Growth Rate), where Cash Flow Growth Rate &lt; Discount Rate</t>
  </si>
  <si>
    <t>($ in Million Except Per Share Data)</t>
  </si>
  <si>
    <t>Year 1</t>
  </si>
  <si>
    <t>Year 2</t>
  </si>
  <si>
    <t>Year 3</t>
  </si>
  <si>
    <t>Accounts Receivable:</t>
  </si>
  <si>
    <t>Inventories:</t>
  </si>
  <si>
    <t>Prepaid Expenses:</t>
  </si>
  <si>
    <t>Deferred Revenue:</t>
  </si>
  <si>
    <t>Annual Revenue:</t>
  </si>
  <si>
    <t>Net Change as a % of Revenue:</t>
  </si>
  <si>
    <t>Net Change as a % of Change in Revenue:</t>
  </si>
  <si>
    <t>Changes in Operating Assets &amp; Liabilities:</t>
  </si>
  <si>
    <t>Net Change:</t>
  </si>
  <si>
    <t>Other Assets:</t>
  </si>
  <si>
    <t>Income Taxes:</t>
  </si>
  <si>
    <t>Other Liabilities:</t>
  </si>
  <si>
    <t>Deferred Costs:</t>
  </si>
  <si>
    <t>Op. Lease Assets:</t>
  </si>
  <si>
    <t>Other Assets and Liabilities:</t>
  </si>
  <si>
    <t>Accrued Compensation:</t>
  </si>
  <si>
    <t>Op. Lease Liabilities:</t>
  </si>
  <si>
    <t>Changes In Operating Assets &amp; Liabilities:</t>
  </si>
  <si>
    <t>Free Cash Flow</t>
  </si>
  <si>
    <t>We've been constantly referencing that "Company Value" formula:</t>
  </si>
  <si>
    <t xml:space="preserve">But we've never defined exactly what "Cash Flow" means. Is it the Net Change in Cash on the Cash Flow Statement? Cash Flow from </t>
  </si>
  <si>
    <t>Operations? Something else?</t>
  </si>
  <si>
    <r>
      <t>Short Answer:</t>
    </r>
    <r>
      <rPr>
        <sz val="12"/>
        <color theme="1"/>
        <rFont val="Calibri"/>
        <family val="2"/>
        <scheme val="minor"/>
      </rPr>
      <t xml:space="preserve"> There are different ways to define it, but one simple definition is </t>
    </r>
    <r>
      <rPr>
        <b/>
        <sz val="12"/>
        <color theme="1"/>
        <rFont val="Calibri"/>
        <family val="2"/>
        <scheme val="minor"/>
      </rPr>
      <t>"Free Cash Flow,"</t>
    </r>
    <r>
      <rPr>
        <sz val="12"/>
        <color theme="1"/>
        <rFont val="Calibri"/>
        <family val="2"/>
        <scheme val="minor"/>
      </rPr>
      <t xml:space="preserve"> or FCF, which is usually:</t>
    </r>
  </si>
  <si>
    <r>
      <t>Free Cash Flow</t>
    </r>
    <r>
      <rPr>
        <sz val="12"/>
        <color theme="1"/>
        <rFont val="Calibri"/>
        <family val="2"/>
        <scheme val="minor"/>
      </rPr>
      <t xml:space="preserve"> = Cash Flow from Operations - CapEx</t>
    </r>
  </si>
  <si>
    <r>
      <t>But be careful</t>
    </r>
    <r>
      <rPr>
        <sz val="12"/>
        <color theme="1"/>
        <rFont val="Calibri"/>
        <family val="2"/>
        <scheme val="minor"/>
      </rPr>
      <t xml:space="preserve"> - This definition assumes that Cash Flow from Operations </t>
    </r>
    <r>
      <rPr>
        <i/>
        <sz val="12"/>
        <color theme="1"/>
        <rFont val="Calibri"/>
        <family val="2"/>
        <scheme val="minor"/>
      </rPr>
      <t>deducts</t>
    </r>
    <r>
      <rPr>
        <sz val="12"/>
        <color theme="1"/>
        <rFont val="Calibri"/>
        <family val="2"/>
        <scheme val="minor"/>
      </rPr>
      <t xml:space="preserve"> Net Interest Expense, Preferred Dividends, Taxes, and all</t>
    </r>
  </si>
  <si>
    <t>Lease Expenses - you may need to adjust it for IFRS-based companies! (See Module 6 for more on all of this.)</t>
  </si>
  <si>
    <t>What Does Free Cash Flow Mean?</t>
  </si>
  <si>
    <t>Calculations for Target:</t>
  </si>
  <si>
    <r>
      <t xml:space="preserve">Generally, you want to see </t>
    </r>
    <r>
      <rPr>
        <b/>
        <sz val="12"/>
        <color theme="1"/>
        <rFont val="Calibri"/>
        <family val="2"/>
        <scheme val="minor"/>
      </rPr>
      <t>a positive and growing FCF</t>
    </r>
    <r>
      <rPr>
        <sz val="12"/>
        <color theme="1"/>
        <rFont val="Calibri"/>
        <family val="2"/>
        <scheme val="minor"/>
      </rPr>
      <t>. If FCF is negative, that means the company is not running a sustainable business</t>
    </r>
  </si>
  <si>
    <t>by itself - it's relying on outside financing to stay afloat!</t>
  </si>
  <si>
    <t>That can be OK for short periods, such as for early-stage startups, but if a company stays like that for years, decades, etc., it raises red flags.</t>
  </si>
  <si>
    <r>
      <t xml:space="preserve">If FCF is negative, the first step is to ask </t>
    </r>
    <r>
      <rPr>
        <b/>
        <sz val="12"/>
        <color theme="1"/>
        <rFont val="Calibri"/>
        <family val="2"/>
        <scheme val="minor"/>
      </rPr>
      <t>why?</t>
    </r>
    <r>
      <rPr>
        <sz val="12"/>
        <color theme="1"/>
        <rFont val="Calibri"/>
        <family val="2"/>
        <scheme val="minor"/>
      </rPr>
      <t xml:space="preserve"> Is it temporary or permanent? Are the losses at least going down as the company grows?</t>
    </r>
  </si>
  <si>
    <t>If it seems to be a recurring thing, and losses are not decreasing with revenue growth, stay away.</t>
  </si>
  <si>
    <r>
      <t xml:space="preserve">If FCF is positive, you should also ask </t>
    </r>
    <r>
      <rPr>
        <b/>
        <sz val="12"/>
        <color theme="1"/>
        <rFont val="Calibri"/>
        <family val="2"/>
        <scheme val="minor"/>
      </rPr>
      <t>why?</t>
    </r>
    <r>
      <rPr>
        <sz val="12"/>
        <color theme="1"/>
        <rFont val="Calibri"/>
        <family val="2"/>
        <scheme val="minor"/>
      </rPr>
      <t xml:space="preserve"> before assuming it's always a good thing. For example:</t>
    </r>
  </si>
  <si>
    <t>non-cash charges such as Depreciation, or slashing CapEx, or earning more from non-core business activities.</t>
  </si>
  <si>
    <r>
      <t xml:space="preserve">BEST = </t>
    </r>
    <r>
      <rPr>
        <sz val="12"/>
        <color theme="1"/>
        <rFont val="Calibri"/>
        <family val="2"/>
        <scheme val="minor"/>
      </rPr>
      <t>Company's FCF is growing because it's selling more, capturing more of the market, and is achieving higher margins as it</t>
    </r>
  </si>
  <si>
    <r>
      <t xml:space="preserve">grows (economies of scale - as it gets bigger, expenses </t>
    </r>
    <r>
      <rPr>
        <i/>
        <sz val="12"/>
        <color theme="1"/>
        <rFont val="Calibri"/>
        <family val="2"/>
        <scheme val="minor"/>
      </rPr>
      <t>don't</t>
    </r>
    <r>
      <rPr>
        <sz val="12"/>
        <color theme="1"/>
        <rFont val="Calibri"/>
        <family val="2"/>
        <scheme val="minor"/>
      </rPr>
      <t xml:space="preserve"> scale up linearly with revenue).</t>
    </r>
  </si>
  <si>
    <r>
      <t xml:space="preserve">NOT AS GOOD = </t>
    </r>
    <r>
      <rPr>
        <sz val="12"/>
        <color theme="1"/>
        <rFont val="Calibri"/>
        <family val="2"/>
        <scheme val="minor"/>
      </rPr>
      <t>Company's FCF is growing because of creative cost-cutting, or because it's re-investing less into CapEx each year.</t>
    </r>
  </si>
  <si>
    <r>
      <t xml:space="preserve">WARNING = </t>
    </r>
    <r>
      <rPr>
        <sz val="12"/>
        <color theme="1"/>
        <rFont val="Calibri"/>
        <family val="2"/>
        <scheme val="minor"/>
      </rPr>
      <t xml:space="preserve">Company's FCF is growing </t>
    </r>
    <r>
      <rPr>
        <i/>
        <sz val="12"/>
        <color theme="1"/>
        <rFont val="Calibri"/>
        <family val="2"/>
        <scheme val="minor"/>
      </rPr>
      <t>despite</t>
    </r>
    <r>
      <rPr>
        <sz val="12"/>
        <color theme="1"/>
        <rFont val="Calibri"/>
        <family val="2"/>
        <scheme val="minor"/>
      </rPr>
      <t xml:space="preserve"> falling sales and profits, because it's playing games with Working Capital, or</t>
    </r>
  </si>
  <si>
    <r>
      <t>Purpose:</t>
    </r>
    <r>
      <rPr>
        <sz val="12"/>
        <color theme="1"/>
        <rFont val="Calibri"/>
        <family val="2"/>
        <scheme val="minor"/>
      </rPr>
      <t xml:space="preserve"> Free Cash Flow lets you quickly and easily assess a company's ability to generate cash flow from its business, including the </t>
    </r>
  </si>
  <si>
    <t>cost of servicing its Debt and other funding sources.</t>
  </si>
  <si>
    <r>
      <t>Target:</t>
    </r>
    <r>
      <rPr>
        <sz val="12"/>
        <color theme="1"/>
        <rFont val="Calibri"/>
        <family val="2"/>
        <scheme val="minor"/>
      </rPr>
      <t xml:space="preserve"> Generally seems quite solid - not a "growth company," but its FCF is positive, and its CapEx is in about the same range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in each </t>
    </r>
  </si>
  <si>
    <t>period, and its Net Income and Revenue are growing as well.</t>
  </si>
  <si>
    <t>Doesn't seem to be "cutting costs" or re-investing less in the business to maintain/grow its FCF, and it's clearly not dependent on</t>
  </si>
  <si>
    <t>outside capital to survive.</t>
  </si>
  <si>
    <r>
      <t>And</t>
    </r>
    <r>
      <rPr>
        <sz val="12"/>
        <color theme="1"/>
        <rFont val="Calibri"/>
        <family val="2"/>
        <scheme val="minor"/>
      </rPr>
      <t xml:space="preserve"> if CFO includes a lot of strange items beyond Net Income, D&amp;A, and Deferred Income Taxes, you may want to leave them out… maybe.</t>
    </r>
  </si>
  <si>
    <t>Best Buy - Free Cash Flow and Working Capital:</t>
  </si>
  <si>
    <t>Zendesk - Free Cash Flow and Working Capital:</t>
  </si>
  <si>
    <t>Free Cash Flow Calculation:</t>
  </si>
  <si>
    <t>Cash Flow from Operations:</t>
  </si>
  <si>
    <t>Free Cash Flow:</t>
  </si>
  <si>
    <t>CapEx % Cash Flow from Operations:</t>
  </si>
  <si>
    <t>Change in WC % Cash Flow from Ops:</t>
  </si>
  <si>
    <t>Revenue Growth Rate:</t>
  </si>
  <si>
    <t>Free Cash Flow Growth Rate:</t>
  </si>
  <si>
    <r>
      <t>Interpretation:</t>
    </r>
    <r>
      <rPr>
        <sz val="12"/>
        <color theme="1"/>
        <rFont val="Calibri"/>
        <family val="2"/>
        <scheme val="minor"/>
      </rPr>
      <t xml:space="preserve"> FCF is always positive and mostly growing, which is good, and the </t>
    </r>
  </si>
  <si>
    <t>company doesn't seem to be "playing games" with fluctuating CapEx levels or WC;</t>
  </si>
  <si>
    <t>in fact, the Change in WC actually becomes more negative in Year 3, but FCF still grows</t>
  </si>
  <si>
    <t>at a faster rate.</t>
  </si>
  <si>
    <t>Revenue is also growing at the same time, so it seems like Best Buy has a fairly healthy</t>
  </si>
  <si>
    <t>business here whose FCF is growing based on business fundamentals and not</t>
  </si>
  <si>
    <t>manipulation of spending. May want to check its margins, though.</t>
  </si>
  <si>
    <r>
      <t>Interpretation:</t>
    </r>
    <r>
      <rPr>
        <sz val="12"/>
        <color theme="1"/>
        <rFont val="Calibri"/>
        <family val="2"/>
        <scheme val="minor"/>
      </rPr>
      <t xml:space="preserve"> FCF is also positive and growing here, though at very different rates</t>
    </r>
  </si>
  <si>
    <t>compared to the company's Revenue Growth.</t>
  </si>
  <si>
    <t>It looks like one major reason why is Working Capital - it's much lower in Year 3, which</t>
  </si>
  <si>
    <t>means FCF gets less of a boost.</t>
  </si>
  <si>
    <t>Zendesk's Net Income is very negative, but these results show us that the company is</t>
  </si>
  <si>
    <r>
      <t xml:space="preserve">doing decently for a high-growth software firm - at the very least, it's </t>
    </r>
    <r>
      <rPr>
        <i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dependent on</t>
    </r>
  </si>
  <si>
    <t>outside capital to stay alive, and it's not "playing games" to boost its FCF.</t>
  </si>
  <si>
    <t>What Does Free Cash Flow Mean? Best Buy vs. Zendesk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</si>
</sst>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yyyy\-mm\-dd"/>
    <numFmt numFmtId="165" formatCode="&quot;FY&quot;yy"/>
    <numFmt numFmtId="166" formatCode="_(#,##0.0%_);\(#,##0.0%\);_(&quot;–&quot;_)_%;_(@_)_%"/>
    <numFmt numFmtId="167" formatCode="_(* #,##0.0_);_(* \(#,##0.0\);_(* &quot;-&quot;?_);_(@_)"/>
    <numFmt numFmtId="168" formatCode="0.0%"/>
    <numFmt numFmtId="169" formatCode="&quot;$&quot;#,##0.000\);\(&quot;$&quot;#,##0.000\);&quot;OK!&quot;;&quot;ERROR&quot;"/>
    <numFmt numFmtId="170" formatCode="_(* #,##0.000_);_(* \(#,##0.000\);_(* &quot;-&quot;?_);_(@_)"/>
    <numFmt numFmtId="171" formatCode="0.0%;\(0.0%\)"/>
    <numFmt numFmtId="172" formatCode="#,##0.0_);\(#,##0.0\)"/>
    <numFmt numFmtId="173" formatCode="_(&quot;$&quot;* #,##0_);_(&quot;$&quot;* \(#,##0\);_(&quot;$&quot;* &quot;-&quot;?_);_(@_)"/>
    <numFmt numFmtId="174" formatCode="_(* #,##0_);_(* \(#,##0\);_(* &quot;-&quot;?_);_(@_)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i/>
      <sz val="12"/>
      <color rgb="FFFFFFFF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FF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1F4E78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2" borderId="1" applyNumberFormat="0" applyFont="0" applyAlignment="0" applyProtection="0"/>
  </cellStyleXfs>
  <cellXfs count="164">
    <xf numFmtId="0" fontId="0" fillId="0" borderId="0" xfId="0"/>
    <xf numFmtId="167" fontId="0" fillId="0" borderId="0" xfId="0" applyNumberFormat="1"/>
    <xf numFmtId="0" fontId="0" fillId="0" borderId="0" xfId="0" applyFill="1"/>
    <xf numFmtId="39" fontId="6" fillId="5" borderId="2" xfId="1" applyNumberFormat="1" applyFont="1" applyFill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9" fillId="3" borderId="6" xfId="0" applyFont="1" applyFill="1" applyBorder="1"/>
    <xf numFmtId="0" fontId="10" fillId="3" borderId="6" xfId="0" applyFont="1" applyFill="1" applyBorder="1"/>
    <xf numFmtId="0" fontId="11" fillId="3" borderId="6" xfId="0" applyFont="1" applyFill="1" applyBorder="1"/>
    <xf numFmtId="0" fontId="10" fillId="3" borderId="6" xfId="0" applyFont="1" applyFill="1" applyBorder="1" applyAlignment="1"/>
    <xf numFmtId="0" fontId="6" fillId="5" borderId="1" xfId="1" applyFont="1" applyFill="1" applyAlignment="1">
      <alignment horizontal="center"/>
    </xf>
    <xf numFmtId="164" fontId="6" fillId="5" borderId="1" xfId="1" applyNumberFormat="1" applyFont="1" applyFill="1" applyAlignment="1">
      <alignment horizontal="center"/>
    </xf>
    <xf numFmtId="0" fontId="7" fillId="0" borderId="0" xfId="0" applyFont="1" applyBorder="1" applyAlignment="1"/>
    <xf numFmtId="0" fontId="9" fillId="3" borderId="0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Continuous" vertical="center"/>
    </xf>
    <xf numFmtId="0" fontId="9" fillId="3" borderId="4" xfId="0" applyFont="1" applyFill="1" applyBorder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0" fontId="8" fillId="4" borderId="6" xfId="0" applyFont="1" applyFill="1" applyBorder="1"/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center"/>
    </xf>
    <xf numFmtId="166" fontId="13" fillId="0" borderId="0" xfId="0" applyNumberFormat="1" applyFont="1"/>
    <xf numFmtId="0" fontId="13" fillId="0" borderId="0" xfId="0" applyFont="1" applyAlignment="1">
      <alignment horizontal="center"/>
    </xf>
    <xf numFmtId="167" fontId="7" fillId="0" borderId="0" xfId="0" applyNumberFormat="1" applyFont="1"/>
    <xf numFmtId="0" fontId="7" fillId="0" borderId="0" xfId="0" applyFont="1" applyFill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7" fillId="0" borderId="0" xfId="0" applyFont="1" applyBorder="1"/>
    <xf numFmtId="167" fontId="6" fillId="0" borderId="0" xfId="0" applyNumberFormat="1" applyFont="1" applyBorder="1"/>
    <xf numFmtId="167" fontId="7" fillId="0" borderId="0" xfId="0" applyNumberFormat="1" applyFont="1" applyBorder="1"/>
    <xf numFmtId="0" fontId="8" fillId="0" borderId="0" xfId="0" applyFont="1" applyAlignment="1">
      <alignment horizontal="left"/>
    </xf>
    <xf numFmtId="167" fontId="8" fillId="0" borderId="0" xfId="0" applyNumberFormat="1" applyFont="1"/>
    <xf numFmtId="168" fontId="7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9" fontId="8" fillId="4" borderId="6" xfId="0" applyNumberFormat="1" applyFont="1" applyFill="1" applyBorder="1"/>
    <xf numFmtId="0" fontId="7" fillId="0" borderId="0" xfId="0" applyFont="1" applyFill="1" applyAlignment="1">
      <alignment horizontal="left" indent="1"/>
    </xf>
    <xf numFmtId="0" fontId="7" fillId="0" borderId="6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167" fontId="7" fillId="0" borderId="0" xfId="0" applyNumberFormat="1" applyFont="1" applyFill="1"/>
    <xf numFmtId="0" fontId="13" fillId="0" borderId="0" xfId="0" applyFont="1" applyFill="1" applyBorder="1"/>
    <xf numFmtId="169" fontId="13" fillId="0" borderId="0" xfId="0" applyNumberFormat="1" applyFont="1"/>
    <xf numFmtId="49" fontId="7" fillId="0" borderId="0" xfId="0" applyNumberFormat="1" applyFont="1" applyFill="1" applyAlignment="1">
      <alignment horizontal="left" indent="1"/>
    </xf>
    <xf numFmtId="0" fontId="8" fillId="0" borderId="0" xfId="0" applyFont="1" applyBorder="1"/>
    <xf numFmtId="0" fontId="7" fillId="0" borderId="6" xfId="0" applyFont="1" applyBorder="1" applyAlignment="1">
      <alignment horizontal="left" indent="1"/>
    </xf>
    <xf numFmtId="0" fontId="8" fillId="0" borderId="8" xfId="0" applyFont="1" applyFill="1" applyBorder="1" applyAlignment="1">
      <alignment horizontal="left"/>
    </xf>
    <xf numFmtId="0" fontId="8" fillId="0" borderId="8" xfId="0" applyFont="1" applyBorder="1"/>
    <xf numFmtId="166" fontId="7" fillId="0" borderId="0" xfId="0" applyNumberFormat="1" applyFont="1"/>
    <xf numFmtId="0" fontId="8" fillId="0" borderId="8" xfId="0" applyFont="1" applyBorder="1" applyAlignment="1">
      <alignment horizontal="left"/>
    </xf>
    <xf numFmtId="171" fontId="14" fillId="5" borderId="1" xfId="1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165" fontId="9" fillId="3" borderId="9" xfId="0" applyNumberFormat="1" applyFont="1" applyFill="1" applyBorder="1" applyAlignment="1">
      <alignment horizontal="center" vertical="center"/>
    </xf>
    <xf numFmtId="43" fontId="7" fillId="0" borderId="0" xfId="0" applyNumberFormat="1" applyFont="1"/>
    <xf numFmtId="0" fontId="13" fillId="0" borderId="6" xfId="0" applyFont="1" applyBorder="1" applyAlignment="1">
      <alignment horizontal="center"/>
    </xf>
    <xf numFmtId="172" fontId="7" fillId="0" borderId="0" xfId="0" applyNumberFormat="1" applyFont="1"/>
    <xf numFmtId="0" fontId="8" fillId="4" borderId="10" xfId="0" applyFont="1" applyFill="1" applyBorder="1"/>
    <xf numFmtId="0" fontId="8" fillId="0" borderId="0" xfId="0" applyNumberFormat="1" applyFont="1" applyFill="1" applyBorder="1" applyAlignment="1"/>
    <xf numFmtId="39" fontId="6" fillId="5" borderId="1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0" fillId="0" borderId="0" xfId="0" applyFont="1" applyFill="1" applyBorder="1"/>
    <xf numFmtId="0" fontId="13" fillId="0" borderId="0" xfId="0" applyFont="1" applyBorder="1" applyAlignment="1">
      <alignment horizontal="center"/>
    </xf>
    <xf numFmtId="0" fontId="4" fillId="0" borderId="0" xfId="0" applyFont="1" applyBorder="1"/>
    <xf numFmtId="168" fontId="19" fillId="0" borderId="0" xfId="0" applyNumberFormat="1" applyFont="1"/>
    <xf numFmtId="0" fontId="4" fillId="0" borderId="0" xfId="0" applyFont="1" applyBorder="1" applyAlignment="1">
      <alignment horizontal="left" indent="1"/>
    </xf>
    <xf numFmtId="0" fontId="4" fillId="0" borderId="0" xfId="0" applyFont="1" applyFill="1" applyAlignment="1">
      <alignment horizontal="left" indent="1"/>
    </xf>
    <xf numFmtId="49" fontId="4" fillId="0" borderId="0" xfId="0" applyNumberFormat="1" applyFont="1" applyAlignment="1">
      <alignment horizontal="left" indent="1"/>
    </xf>
    <xf numFmtId="0" fontId="13" fillId="0" borderId="8" xfId="0" applyFont="1" applyBorder="1" applyAlignment="1">
      <alignment horizontal="center"/>
    </xf>
    <xf numFmtId="171" fontId="14" fillId="0" borderId="11" xfId="1" applyNumberFormat="1" applyFont="1" applyFill="1" applyBorder="1" applyAlignment="1"/>
    <xf numFmtId="171" fontId="15" fillId="5" borderId="1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72" fontId="6" fillId="0" borderId="0" xfId="1" applyNumberFormat="1" applyFont="1" applyFill="1" applyBorder="1"/>
    <xf numFmtId="0" fontId="20" fillId="0" borderId="0" xfId="0" applyFont="1"/>
    <xf numFmtId="166" fontId="6" fillId="0" borderId="0" xfId="0" applyNumberFormat="1" applyFont="1"/>
    <xf numFmtId="0" fontId="7" fillId="0" borderId="0" xfId="0" applyFont="1" applyFill="1" applyBorder="1" applyAlignment="1">
      <alignment horizontal="left"/>
    </xf>
    <xf numFmtId="0" fontId="7" fillId="0" borderId="8" xfId="0" applyFont="1" applyBorder="1"/>
    <xf numFmtId="49" fontId="3" fillId="0" borderId="0" xfId="0" applyNumberFormat="1" applyFont="1" applyBorder="1" applyAlignment="1">
      <alignment horizontal="left" indent="1"/>
    </xf>
    <xf numFmtId="49" fontId="8" fillId="0" borderId="8" xfId="0" applyNumberFormat="1" applyFont="1" applyBorder="1" applyAlignment="1">
      <alignment horizontal="left"/>
    </xf>
    <xf numFmtId="173" fontId="17" fillId="0" borderId="0" xfId="0" applyNumberFormat="1" applyFont="1"/>
    <xf numFmtId="174" fontId="6" fillId="0" borderId="0" xfId="0" applyNumberFormat="1" applyFont="1" applyBorder="1"/>
    <xf numFmtId="174" fontId="7" fillId="0" borderId="0" xfId="0" applyNumberFormat="1" applyFont="1" applyBorder="1"/>
    <xf numFmtId="174" fontId="18" fillId="0" borderId="0" xfId="0" applyNumberFormat="1" applyFont="1"/>
    <xf numFmtId="174" fontId="18" fillId="0" borderId="8" xfId="0" applyNumberFormat="1" applyFont="1" applyBorder="1"/>
    <xf numFmtId="174" fontId="6" fillId="0" borderId="0" xfId="0" applyNumberFormat="1" applyFont="1"/>
    <xf numFmtId="174" fontId="6" fillId="0" borderId="6" xfId="0" applyNumberFormat="1" applyFont="1" applyBorder="1"/>
    <xf numFmtId="174" fontId="7" fillId="0" borderId="6" xfId="0" applyNumberFormat="1" applyFont="1" applyBorder="1"/>
    <xf numFmtId="174" fontId="18" fillId="0" borderId="0" xfId="0" applyNumberFormat="1" applyFont="1" applyBorder="1"/>
    <xf numFmtId="173" fontId="18" fillId="0" borderId="8" xfId="0" applyNumberFormat="1" applyFont="1" applyBorder="1"/>
    <xf numFmtId="49" fontId="3" fillId="0" borderId="0" xfId="0" applyNumberFormat="1" applyFont="1" applyAlignment="1">
      <alignment horizontal="left" indent="1"/>
    </xf>
    <xf numFmtId="49" fontId="3" fillId="0" borderId="6" xfId="0" applyNumberFormat="1" applyFont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3" fillId="0" borderId="6" xfId="0" applyFont="1" applyFill="1" applyBorder="1" applyAlignment="1">
      <alignment horizontal="left" indent="1"/>
    </xf>
    <xf numFmtId="173" fontId="6" fillId="0" borderId="0" xfId="0" applyNumberFormat="1" applyFont="1"/>
    <xf numFmtId="173" fontId="18" fillId="0" borderId="0" xfId="0" applyNumberFormat="1" applyFont="1"/>
    <xf numFmtId="173" fontId="17" fillId="0" borderId="0" xfId="0" applyNumberFormat="1" applyFont="1" applyBorder="1"/>
    <xf numFmtId="174" fontId="16" fillId="0" borderId="0" xfId="0" applyNumberFormat="1" applyFont="1"/>
    <xf numFmtId="174" fontId="16" fillId="0" borderId="0" xfId="0" applyNumberFormat="1" applyFont="1" applyFill="1" applyBorder="1" applyAlignment="1"/>
    <xf numFmtId="174" fontId="6" fillId="0" borderId="7" xfId="0" applyNumberFormat="1" applyFont="1" applyBorder="1"/>
    <xf numFmtId="174" fontId="16" fillId="0" borderId="7" xfId="0" applyNumberFormat="1" applyFont="1" applyBorder="1"/>
    <xf numFmtId="174" fontId="16" fillId="0" borderId="6" xfId="0" applyNumberFormat="1" applyFont="1" applyBorder="1"/>
    <xf numFmtId="173" fontId="18" fillId="0" borderId="0" xfId="0" applyNumberFormat="1" applyFont="1" applyBorder="1"/>
    <xf numFmtId="173" fontId="7" fillId="0" borderId="0" xfId="0" applyNumberFormat="1" applyFont="1"/>
    <xf numFmtId="0" fontId="3" fillId="0" borderId="0" xfId="0" applyFont="1" applyFill="1" applyBorder="1" applyAlignment="1">
      <alignment horizontal="left" indent="1"/>
    </xf>
    <xf numFmtId="49" fontId="3" fillId="0" borderId="0" xfId="0" applyNumberFormat="1" applyFont="1" applyFill="1" applyAlignment="1">
      <alignment horizontal="left" indent="1"/>
    </xf>
    <xf numFmtId="49" fontId="3" fillId="0" borderId="6" xfId="0" applyNumberFormat="1" applyFont="1" applyFill="1" applyBorder="1" applyAlignment="1">
      <alignment horizontal="left" indent="1"/>
    </xf>
    <xf numFmtId="0" fontId="3" fillId="0" borderId="0" xfId="0" applyFont="1" applyBorder="1" applyAlignment="1">
      <alignment horizontal="left"/>
    </xf>
    <xf numFmtId="166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4" fontId="7" fillId="0" borderId="0" xfId="0" applyNumberFormat="1" applyFont="1"/>
    <xf numFmtId="37" fontId="16" fillId="0" borderId="0" xfId="1" applyNumberFormat="1" applyFont="1" applyFill="1" applyBorder="1"/>
    <xf numFmtId="174" fontId="16" fillId="0" borderId="0" xfId="0" applyNumberFormat="1" applyFont="1" applyFill="1" applyBorder="1"/>
    <xf numFmtId="174" fontId="6" fillId="5" borderId="1" xfId="1" applyNumberFormat="1" applyFont="1" applyFill="1" applyAlignment="1">
      <alignment horizontal="center"/>
    </xf>
    <xf numFmtId="174" fontId="16" fillId="0" borderId="0" xfId="1" applyNumberFormat="1" applyFont="1" applyFill="1" applyBorder="1" applyAlignment="1">
      <alignment horizontal="center"/>
    </xf>
    <xf numFmtId="174" fontId="16" fillId="0" borderId="0" xfId="0" applyNumberFormat="1" applyFont="1" applyBorder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174" fontId="3" fillId="0" borderId="0" xfId="0" applyNumberFormat="1" applyFont="1"/>
    <xf numFmtId="171" fontId="3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wrapText="1"/>
    </xf>
    <xf numFmtId="170" fontId="3" fillId="0" borderId="0" xfId="0" applyNumberFormat="1" applyFont="1"/>
    <xf numFmtId="174" fontId="16" fillId="5" borderId="1" xfId="1" applyNumberFormat="1" applyFont="1" applyFill="1" applyAlignment="1">
      <alignment horizontal="center"/>
    </xf>
    <xf numFmtId="0" fontId="3" fillId="0" borderId="0" xfId="0" applyFont="1" applyFill="1" applyBorder="1"/>
    <xf numFmtId="174" fontId="16" fillId="0" borderId="6" xfId="0" applyNumberFormat="1" applyFont="1" applyFill="1" applyBorder="1"/>
    <xf numFmtId="174" fontId="7" fillId="0" borderId="0" xfId="0" applyNumberFormat="1" applyFont="1" applyAlignment="1">
      <alignment horizontal="center"/>
    </xf>
    <xf numFmtId="174" fontId="8" fillId="0" borderId="0" xfId="0" applyNumberFormat="1" applyFont="1"/>
    <xf numFmtId="173" fontId="8" fillId="0" borderId="0" xfId="0" applyNumberFormat="1" applyFont="1" applyBorder="1"/>
    <xf numFmtId="0" fontId="2" fillId="4" borderId="6" xfId="0" applyFont="1" applyFill="1" applyBorder="1"/>
    <xf numFmtId="0" fontId="2" fillId="0" borderId="0" xfId="0" applyFont="1" applyFill="1" applyBorder="1"/>
    <xf numFmtId="0" fontId="2" fillId="0" borderId="0" xfId="0" applyFont="1"/>
    <xf numFmtId="0" fontId="13" fillId="0" borderId="0" xfId="0" applyFont="1"/>
    <xf numFmtId="174" fontId="2" fillId="0" borderId="0" xfId="0" applyNumberFormat="1" applyFont="1"/>
    <xf numFmtId="0" fontId="8" fillId="4" borderId="6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center"/>
    </xf>
    <xf numFmtId="41" fontId="2" fillId="0" borderId="0" xfId="0" applyNumberFormat="1" applyFont="1"/>
    <xf numFmtId="0" fontId="2" fillId="0" borderId="0" xfId="0" applyFont="1" applyAlignment="1">
      <alignment horizontal="left" indent="1"/>
    </xf>
    <xf numFmtId="42" fontId="6" fillId="0" borderId="0" xfId="0" applyNumberFormat="1" applyFont="1"/>
    <xf numFmtId="41" fontId="6" fillId="0" borderId="0" xfId="0" applyNumberFormat="1" applyFont="1"/>
    <xf numFmtId="0" fontId="2" fillId="0" borderId="6" xfId="0" applyFont="1" applyBorder="1"/>
    <xf numFmtId="41" fontId="8" fillId="0" borderId="8" xfId="0" applyNumberFormat="1" applyFont="1" applyBorder="1"/>
    <xf numFmtId="0" fontId="2" fillId="0" borderId="8" xfId="0" applyFont="1" applyBorder="1"/>
    <xf numFmtId="171" fontId="2" fillId="0" borderId="0" xfId="0" applyNumberFormat="1" applyFont="1"/>
    <xf numFmtId="0" fontId="9" fillId="6" borderId="6" xfId="0" applyFont="1" applyFill="1" applyBorder="1"/>
    <xf numFmtId="0" fontId="10" fillId="6" borderId="6" xfId="0" applyFont="1" applyFill="1" applyBorder="1"/>
    <xf numFmtId="9" fontId="7" fillId="0" borderId="0" xfId="0" applyNumberFormat="1" applyFont="1"/>
    <xf numFmtId="0" fontId="1" fillId="4" borderId="6" xfId="0" applyFont="1" applyFill="1" applyBorder="1"/>
    <xf numFmtId="0" fontId="1" fillId="0" borderId="0" xfId="0" applyFont="1"/>
    <xf numFmtId="0" fontId="1" fillId="0" borderId="0" xfId="0" applyFont="1" applyFill="1" applyBorder="1"/>
    <xf numFmtId="173" fontId="1" fillId="0" borderId="0" xfId="0" applyNumberFormat="1" applyFont="1" applyFill="1" applyBorder="1"/>
    <xf numFmtId="0" fontId="1" fillId="0" borderId="0" xfId="0" applyFont="1" applyFill="1"/>
    <xf numFmtId="0" fontId="13" fillId="0" borderId="0" xfId="0" applyFont="1" applyFill="1"/>
    <xf numFmtId="174" fontId="1" fillId="0" borderId="0" xfId="0" applyNumberFormat="1" applyFont="1" applyFill="1" applyBorder="1"/>
    <xf numFmtId="171" fontId="1" fillId="0" borderId="0" xfId="0" applyNumberFormat="1" applyFont="1"/>
    <xf numFmtId="0" fontId="1" fillId="0" borderId="0" xfId="0" applyFont="1" applyAlignment="1">
      <alignment horizontal="left" indent="1"/>
    </xf>
    <xf numFmtId="0" fontId="1" fillId="0" borderId="8" xfId="0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1F4E78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BC173"/>
  <sheetViews>
    <sheetView showGridLines="0" tabSelected="1" topLeftCell="A82" zoomScaleNormal="100" workbookViewId="0">
      <selection activeCell="N84" sqref="N84"/>
    </sheetView>
  </sheetViews>
  <sheetFormatPr defaultRowHeight="15" outlineLevelRow="1" x14ac:dyDescent="0.25"/>
  <cols>
    <col min="1" max="2" width="2.7109375" customWidth="1"/>
    <col min="3" max="3" width="43.7109375" bestFit="1" customWidth="1"/>
    <col min="4" max="12" width="11.7109375" customWidth="1"/>
    <col min="13" max="14" width="2.7109375" customWidth="1"/>
    <col min="15" max="25" width="11.7109375" customWidth="1"/>
  </cols>
  <sheetData>
    <row r="1" spans="1:23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8.75" x14ac:dyDescent="0.3">
      <c r="A2" s="4"/>
      <c r="B2" s="79" t="str">
        <f>Company_Name&amp;" - Simple Operating Model"</f>
        <v>Target Corporation - Simple Operating Model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ht="15.75" x14ac:dyDescent="0.25">
      <c r="A3" s="4"/>
      <c r="B3" s="4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3" ht="15.75" x14ac:dyDescent="0.25">
      <c r="A4" s="4"/>
      <c r="B4" s="4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65"/>
      <c r="O4" s="65"/>
      <c r="P4" s="65"/>
      <c r="Q4" s="65"/>
      <c r="R4" s="65"/>
      <c r="S4" s="65"/>
      <c r="T4" s="65"/>
      <c r="U4" s="65"/>
      <c r="V4" s="65"/>
      <c r="W4" s="66"/>
    </row>
    <row r="5" spans="1:23" ht="15.75" x14ac:dyDescent="0.25">
      <c r="A5" s="4"/>
      <c r="B5" s="7" t="s">
        <v>0</v>
      </c>
      <c r="C5" s="8"/>
      <c r="D5" s="9"/>
      <c r="E5" s="10"/>
      <c r="F5" s="10"/>
      <c r="G5" s="10"/>
      <c r="H5" s="10"/>
      <c r="I5" s="9"/>
      <c r="J5" s="10"/>
      <c r="K5" s="10"/>
      <c r="L5" s="10"/>
    </row>
    <row r="6" spans="1:23" ht="15.75" outlineLevel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3" ht="15.75" outlineLevel="1" x14ac:dyDescent="0.25">
      <c r="A7" s="4"/>
      <c r="B7" s="4"/>
      <c r="C7" s="4" t="s">
        <v>1</v>
      </c>
      <c r="D7" s="3" t="s">
        <v>110</v>
      </c>
      <c r="E7" s="3"/>
      <c r="F7" s="64"/>
      <c r="G7" s="4"/>
      <c r="H7" s="4"/>
      <c r="I7" s="4"/>
      <c r="J7" s="4"/>
      <c r="K7" s="4"/>
      <c r="L7" s="4"/>
    </row>
    <row r="8" spans="1:23" ht="15.75" outlineLevel="1" x14ac:dyDescent="0.25">
      <c r="A8" s="4"/>
      <c r="B8" s="4"/>
      <c r="C8" s="4" t="s">
        <v>2</v>
      </c>
      <c r="D8" s="11" t="s">
        <v>95</v>
      </c>
      <c r="E8" s="4"/>
      <c r="F8" s="4"/>
      <c r="G8" s="4"/>
      <c r="H8" s="4"/>
      <c r="I8" s="4"/>
      <c r="J8" s="4"/>
      <c r="K8" s="4"/>
      <c r="L8" s="4"/>
    </row>
    <row r="9" spans="1:23" ht="15.75" outlineLevel="1" x14ac:dyDescent="0.25">
      <c r="A9" s="4"/>
      <c r="B9" s="4"/>
      <c r="C9" s="13" t="s">
        <v>3</v>
      </c>
      <c r="D9" s="12">
        <v>43861</v>
      </c>
      <c r="E9" s="4"/>
      <c r="F9" s="4"/>
      <c r="G9" s="4"/>
      <c r="H9" s="4"/>
      <c r="I9" s="4"/>
      <c r="J9" s="4"/>
      <c r="K9" s="4"/>
      <c r="L9" s="4"/>
    </row>
    <row r="10" spans="1:23" ht="15.75" x14ac:dyDescent="0.25">
      <c r="A10" s="4"/>
      <c r="B10" s="4"/>
      <c r="C10" s="13"/>
      <c r="D10" s="4"/>
      <c r="E10" s="4"/>
      <c r="F10" s="4"/>
      <c r="G10" s="4"/>
      <c r="H10" s="4"/>
      <c r="I10" s="4"/>
      <c r="J10" s="4"/>
      <c r="K10" s="4"/>
      <c r="L10" s="4"/>
    </row>
    <row r="11" spans="1:23" ht="15.75" x14ac:dyDescent="0.25">
      <c r="A11" s="4"/>
      <c r="B11" s="14"/>
      <c r="C11" s="14"/>
      <c r="D11" s="14"/>
      <c r="E11" s="15" t="s">
        <v>5</v>
      </c>
      <c r="F11" s="15"/>
      <c r="G11" s="15"/>
      <c r="H11" s="16" t="s">
        <v>6</v>
      </c>
      <c r="I11" s="15"/>
      <c r="J11" s="15"/>
      <c r="K11" s="15"/>
      <c r="L11" s="15"/>
    </row>
    <row r="12" spans="1:23" ht="15.75" x14ac:dyDescent="0.25">
      <c r="A12" s="4"/>
      <c r="B12" s="14" t="s">
        <v>47</v>
      </c>
      <c r="C12" s="14"/>
      <c r="D12" s="17" t="s">
        <v>48</v>
      </c>
      <c r="E12" s="18">
        <f t="shared" ref="E12" si="0">EOMONTH(F12,-12)</f>
        <v>43131</v>
      </c>
      <c r="F12" s="18">
        <f>EOMONTH(G12,-12)</f>
        <v>43496</v>
      </c>
      <c r="G12" s="18">
        <f>Hist_Yr</f>
        <v>43861</v>
      </c>
      <c r="H12" s="19">
        <f>EOMONTH(G12,12)</f>
        <v>44227</v>
      </c>
      <c r="I12" s="18">
        <f>EOMONTH(H12,12)</f>
        <v>44592</v>
      </c>
      <c r="J12" s="18">
        <f t="shared" ref="J12" si="1">EOMONTH(I12,12)</f>
        <v>44957</v>
      </c>
      <c r="K12" s="18">
        <f t="shared" ref="K12" si="2">EOMONTH(J12,12)</f>
        <v>45322</v>
      </c>
      <c r="L12" s="18">
        <f t="shared" ref="L12" si="3">EOMONTH(K12,12)</f>
        <v>45688</v>
      </c>
    </row>
    <row r="13" spans="1:23" ht="15.75" outlineLevel="1" x14ac:dyDescent="0.25">
      <c r="A13" s="4"/>
      <c r="B13" s="20" t="s">
        <v>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23" ht="15.75" outlineLevel="1" x14ac:dyDescent="0.25">
      <c r="A14" s="4"/>
      <c r="B14" s="43"/>
      <c r="C14" s="112" t="s">
        <v>93</v>
      </c>
      <c r="D14" s="24" t="s">
        <v>49</v>
      </c>
      <c r="E14" s="80">
        <v>0.04</v>
      </c>
      <c r="F14" s="52">
        <f>+F58/E58-1</f>
        <v>3.6334130978903589E-2</v>
      </c>
      <c r="G14" s="52">
        <f>+G58/F58-1</f>
        <v>3.6573066510961372E-2</v>
      </c>
      <c r="H14" s="54">
        <v>3.5000000000000003E-2</v>
      </c>
      <c r="I14" s="54">
        <v>3.5000000000000003E-2</v>
      </c>
      <c r="J14" s="54">
        <v>0.03</v>
      </c>
      <c r="K14" s="54">
        <v>0.03</v>
      </c>
      <c r="L14" s="54">
        <v>2.5000000000000001E-2</v>
      </c>
    </row>
    <row r="15" spans="1:23" ht="15.75" outlineLevel="1" x14ac:dyDescent="0.25">
      <c r="A15" s="4"/>
      <c r="B15" s="43"/>
      <c r="C15" s="21"/>
      <c r="D15" s="24"/>
      <c r="E15" s="52"/>
      <c r="F15" s="52"/>
      <c r="G15" s="52"/>
      <c r="H15" s="74"/>
      <c r="I15" s="74"/>
      <c r="J15" s="74"/>
      <c r="K15" s="74"/>
      <c r="L15" s="74"/>
    </row>
    <row r="16" spans="1:23" ht="15.75" outlineLevel="1" x14ac:dyDescent="0.25">
      <c r="A16" s="4"/>
      <c r="B16" s="43"/>
      <c r="C16" s="81" t="s">
        <v>21</v>
      </c>
      <c r="D16" s="24" t="s">
        <v>49</v>
      </c>
      <c r="E16" s="52">
        <f>+E63/E58</f>
        <v>0.30035481475369252</v>
      </c>
      <c r="F16" s="52">
        <f t="shared" ref="F16:G16" si="4">+F63/F58</f>
        <v>0.29602155103774086</v>
      </c>
      <c r="G16" s="52">
        <f t="shared" si="4"/>
        <v>0.30078605079885296</v>
      </c>
      <c r="H16" s="75">
        <f>AVERAGE(E16:G16)</f>
        <v>0.29905413886342874</v>
      </c>
      <c r="I16" s="75">
        <f>+H16</f>
        <v>0.29905413886342874</v>
      </c>
      <c r="J16" s="75">
        <f t="shared" ref="J16:L16" si="5">+I16</f>
        <v>0.29905413886342874</v>
      </c>
      <c r="K16" s="75">
        <f t="shared" si="5"/>
        <v>0.29905413886342874</v>
      </c>
      <c r="L16" s="75">
        <f t="shared" si="5"/>
        <v>0.29905413886342874</v>
      </c>
    </row>
    <row r="17" spans="1:55" ht="15.75" outlineLevel="1" x14ac:dyDescent="0.25">
      <c r="A17" s="4"/>
      <c r="B17" s="4"/>
      <c r="C17" s="38" t="s">
        <v>56</v>
      </c>
      <c r="D17" s="24" t="s">
        <v>49</v>
      </c>
      <c r="E17" s="52">
        <f>+E66/E58</f>
        <v>0.20821299887229419</v>
      </c>
      <c r="F17" s="52">
        <f t="shared" ref="F17:G17" si="6">+F66/F58</f>
        <v>0.20864960985190298</v>
      </c>
      <c r="G17" s="52">
        <f t="shared" si="6"/>
        <v>0.20781698074559607</v>
      </c>
      <c r="H17" s="75">
        <f>AVERAGE(E17:G17)</f>
        <v>0.20822652982326439</v>
      </c>
      <c r="I17" s="75">
        <f t="shared" ref="I17:L17" si="7">+H17</f>
        <v>0.20822652982326439</v>
      </c>
      <c r="J17" s="75">
        <f t="shared" si="7"/>
        <v>0.20822652982326439</v>
      </c>
      <c r="K17" s="75">
        <f t="shared" si="7"/>
        <v>0.20822652982326439</v>
      </c>
      <c r="L17" s="75">
        <f t="shared" si="7"/>
        <v>0.20822652982326439</v>
      </c>
    </row>
    <row r="18" spans="1:55" ht="15.75" outlineLevel="1" x14ac:dyDescent="0.25">
      <c r="A18" s="4"/>
      <c r="B18" s="4"/>
      <c r="C18" s="112" t="s">
        <v>94</v>
      </c>
      <c r="D18" s="24" t="s">
        <v>49</v>
      </c>
      <c r="E18" s="113">
        <f>+E67/E58</f>
        <v>3.4051214346618258E-2</v>
      </c>
      <c r="F18" s="113">
        <f t="shared" ref="F18:G18" si="8">+F67/F58</f>
        <v>3.2830829661871647E-2</v>
      </c>
      <c r="G18" s="113">
        <f t="shared" si="8"/>
        <v>3.3336747234739859E-2</v>
      </c>
      <c r="H18" s="75">
        <f>AVERAGE(E18:G18)</f>
        <v>3.3406263747743255E-2</v>
      </c>
      <c r="I18" s="75">
        <f t="shared" ref="I18:L18" si="9">+H18</f>
        <v>3.3406263747743255E-2</v>
      </c>
      <c r="J18" s="75">
        <f t="shared" si="9"/>
        <v>3.3406263747743255E-2</v>
      </c>
      <c r="K18" s="75">
        <f t="shared" si="9"/>
        <v>3.3406263747743255E-2</v>
      </c>
      <c r="L18" s="75">
        <f t="shared" si="9"/>
        <v>3.3406263747743255E-2</v>
      </c>
    </row>
    <row r="19" spans="1:55" ht="15.75" outlineLevel="1" x14ac:dyDescent="0.25">
      <c r="A19" s="4"/>
      <c r="B19" s="4"/>
      <c r="C19" s="21"/>
      <c r="D19" s="22"/>
      <c r="E19" s="23"/>
      <c r="F19" s="23"/>
      <c r="G19" s="23"/>
      <c r="H19" s="4"/>
      <c r="I19" s="4"/>
      <c r="J19" s="4"/>
      <c r="K19" s="4"/>
      <c r="L19" s="4"/>
    </row>
    <row r="20" spans="1:55" ht="15.75" outlineLevel="1" x14ac:dyDescent="0.25">
      <c r="A20" s="4"/>
      <c r="B20" s="4"/>
      <c r="C20" s="112" t="s">
        <v>108</v>
      </c>
      <c r="D20" s="24" t="s">
        <v>49</v>
      </c>
      <c r="E20" s="113"/>
      <c r="F20" s="113">
        <f>-F74/E106</f>
        <v>4.0445692226706437E-2</v>
      </c>
      <c r="G20" s="113">
        <f>-G74/F106</f>
        <v>4.2305986696230598E-2</v>
      </c>
      <c r="H20" s="54">
        <v>4.2999999999999997E-2</v>
      </c>
      <c r="I20" s="54">
        <v>4.3999999999999997E-2</v>
      </c>
      <c r="J20" s="54">
        <v>4.4999999999999998E-2</v>
      </c>
      <c r="K20" s="54">
        <v>4.4999999999999998E-2</v>
      </c>
      <c r="L20" s="54">
        <v>4.4999999999999998E-2</v>
      </c>
    </row>
    <row r="21" spans="1:55" ht="15.75" outlineLevel="1" x14ac:dyDescent="0.25">
      <c r="A21" s="4"/>
      <c r="B21" s="4"/>
      <c r="C21" s="112" t="s">
        <v>109</v>
      </c>
      <c r="D21" s="24" t="s">
        <v>57</v>
      </c>
      <c r="E21" s="124">
        <f>+E75</f>
        <v>59</v>
      </c>
      <c r="F21" s="124">
        <f t="shared" ref="F21:G21" si="10">+F75</f>
        <v>27</v>
      </c>
      <c r="G21" s="124">
        <f t="shared" si="10"/>
        <v>9</v>
      </c>
      <c r="H21" s="128">
        <f>AVERAGE(E21:G21)</f>
        <v>31.666666666666668</v>
      </c>
      <c r="I21" s="128">
        <f t="shared" ref="I21:L21" si="11">+H21</f>
        <v>31.666666666666668</v>
      </c>
      <c r="J21" s="128">
        <f t="shared" si="11"/>
        <v>31.666666666666668</v>
      </c>
      <c r="K21" s="128">
        <f t="shared" si="11"/>
        <v>31.666666666666668</v>
      </c>
      <c r="L21" s="128">
        <f t="shared" si="11"/>
        <v>31.666666666666668</v>
      </c>
    </row>
    <row r="22" spans="1:55" ht="15.75" outlineLevel="1" x14ac:dyDescent="0.25">
      <c r="A22" s="4"/>
      <c r="B22" s="4"/>
      <c r="C22" s="21"/>
      <c r="D22" s="22"/>
      <c r="E22" s="23"/>
      <c r="F22" s="23"/>
      <c r="G22" s="23"/>
      <c r="H22" s="4"/>
      <c r="I22" s="4"/>
      <c r="J22" s="4"/>
      <c r="K22" s="4"/>
      <c r="L22" s="4"/>
    </row>
    <row r="23" spans="1:55" ht="15.75" outlineLevel="1" x14ac:dyDescent="0.25">
      <c r="C23" s="76" t="s">
        <v>50</v>
      </c>
      <c r="D23" s="24" t="s">
        <v>49</v>
      </c>
      <c r="E23" s="52">
        <f>-E79/E78</f>
        <v>0.19889807162534434</v>
      </c>
      <c r="F23" s="52">
        <f t="shared" ref="F23:G23" si="12">-F79/F78</f>
        <v>0.2029379760609358</v>
      </c>
      <c r="G23" s="52">
        <f t="shared" si="12"/>
        <v>0.2198090692124105</v>
      </c>
      <c r="H23" s="75">
        <f>AVERAGE(E23:G23)</f>
        <v>0.2072150389662302</v>
      </c>
      <c r="I23" s="75">
        <f t="shared" ref="I23:L23" si="13">+H23</f>
        <v>0.2072150389662302</v>
      </c>
      <c r="J23" s="75">
        <f t="shared" si="13"/>
        <v>0.2072150389662302</v>
      </c>
      <c r="K23" s="75">
        <f t="shared" si="13"/>
        <v>0.2072150389662302</v>
      </c>
      <c r="L23" s="75">
        <f t="shared" si="13"/>
        <v>0.2072150389662302</v>
      </c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</row>
    <row r="24" spans="1:55" ht="15.75" outlineLevel="1" x14ac:dyDescent="0.25"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</row>
    <row r="25" spans="1:55" ht="15.75" outlineLevel="1" x14ac:dyDescent="0.25">
      <c r="A25" s="4"/>
      <c r="B25" s="20" t="s">
        <v>10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</row>
    <row r="26" spans="1:55" ht="15.75" outlineLevel="1" x14ac:dyDescent="0.25">
      <c r="A26" s="4"/>
      <c r="B26" s="4"/>
      <c r="C26" s="77" t="s">
        <v>75</v>
      </c>
      <c r="D26" s="24" t="s">
        <v>49</v>
      </c>
      <c r="E26" s="52">
        <f>+E87/E61</f>
        <v>0.16898612257734796</v>
      </c>
      <c r="F26" s="52">
        <f>+F87/F61</f>
        <v>0.17902316726045731</v>
      </c>
      <c r="G26" s="52">
        <f>+G87/G61</f>
        <v>0.16463738396469962</v>
      </c>
      <c r="H26" s="75">
        <f t="shared" ref="H26:H27" si="14">AVERAGE(E26:G26)</f>
        <v>0.17088222460083494</v>
      </c>
      <c r="I26" s="75">
        <f t="shared" ref="I26:L26" si="15">+H26</f>
        <v>0.17088222460083494</v>
      </c>
      <c r="J26" s="75">
        <f t="shared" si="15"/>
        <v>0.17088222460083494</v>
      </c>
      <c r="K26" s="75">
        <f t="shared" si="15"/>
        <v>0.17088222460083494</v>
      </c>
      <c r="L26" s="75">
        <f t="shared" si="15"/>
        <v>0.17088222460083494</v>
      </c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</row>
    <row r="27" spans="1:55" ht="15.75" outlineLevel="1" x14ac:dyDescent="0.25">
      <c r="A27" s="4"/>
      <c r="B27" s="4"/>
      <c r="C27" s="114" t="s">
        <v>97</v>
      </c>
      <c r="D27" s="24" t="s">
        <v>49</v>
      </c>
      <c r="E27" s="52">
        <f>+E88/E58</f>
        <v>1.7878262782957888E-2</v>
      </c>
      <c r="F27" s="52">
        <f t="shared" ref="F27:G27" si="16">+F88/F58</f>
        <v>1.9454323477891607E-2</v>
      </c>
      <c r="G27" s="52">
        <f t="shared" si="16"/>
        <v>1.706523965587874E-2</v>
      </c>
      <c r="H27" s="75">
        <f t="shared" si="14"/>
        <v>1.8132608638909409E-2</v>
      </c>
      <c r="I27" s="75">
        <f t="shared" ref="I27:L27" si="17">+H27</f>
        <v>1.8132608638909409E-2</v>
      </c>
      <c r="J27" s="75">
        <f t="shared" si="17"/>
        <v>1.8132608638909409E-2</v>
      </c>
      <c r="K27" s="75">
        <f t="shared" si="17"/>
        <v>1.8132608638909409E-2</v>
      </c>
      <c r="L27" s="75">
        <f t="shared" si="17"/>
        <v>1.8132608638909409E-2</v>
      </c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</row>
    <row r="28" spans="1:55" ht="15.75" outlineLevel="1" x14ac:dyDescent="0.25">
      <c r="A28" s="4"/>
      <c r="B28" s="4"/>
      <c r="C28" s="37"/>
      <c r="D28" s="24"/>
      <c r="E28" s="61"/>
      <c r="F28" s="61"/>
      <c r="G28" s="61"/>
      <c r="H28" s="78"/>
      <c r="I28" s="78"/>
      <c r="J28" s="78"/>
      <c r="K28" s="78"/>
      <c r="L28" s="78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</row>
    <row r="29" spans="1:55" ht="15.75" outlineLevel="1" x14ac:dyDescent="0.25">
      <c r="A29" s="4"/>
      <c r="B29" s="4"/>
      <c r="C29" s="114" t="s">
        <v>98</v>
      </c>
      <c r="D29" s="24" t="s">
        <v>49</v>
      </c>
      <c r="E29" s="52">
        <f>++E93/E66</f>
        <v>0.12443857331571995</v>
      </c>
      <c r="F29" s="52">
        <f t="shared" ref="F29:G29" si="18">++F93/F66</f>
        <v>0.12497614958977295</v>
      </c>
      <c r="G29" s="52">
        <f t="shared" si="18"/>
        <v>0.13774410152159183</v>
      </c>
      <c r="H29" s="54">
        <v>0.14000000000000001</v>
      </c>
      <c r="I29" s="54">
        <v>0.14099999999999999</v>
      </c>
      <c r="J29" s="54">
        <v>0.14199999999999999</v>
      </c>
      <c r="K29" s="54">
        <v>0.14299999999999999</v>
      </c>
      <c r="L29" s="54">
        <v>0.14399999999999999</v>
      </c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</row>
    <row r="30" spans="1:55" ht="15.75" outlineLevel="1" x14ac:dyDescent="0.25">
      <c r="A30" s="4"/>
      <c r="B30" s="4"/>
      <c r="C30" s="114" t="s">
        <v>99</v>
      </c>
      <c r="D30" s="24" t="s">
        <v>57</v>
      </c>
      <c r="E30" s="61"/>
      <c r="F30" s="117">
        <f>+F93-E93</f>
        <v>81</v>
      </c>
      <c r="G30" s="117">
        <f>+G93-F93</f>
        <v>271</v>
      </c>
      <c r="H30" s="117">
        <f>+H93-G93</f>
        <v>120.79715207569461</v>
      </c>
      <c r="I30" s="117">
        <f t="shared" ref="I30:L30" si="19">+I93-H93</f>
        <v>99.911364982637224</v>
      </c>
      <c r="J30" s="117">
        <f t="shared" si="19"/>
        <v>91.64742411153793</v>
      </c>
      <c r="K30" s="117">
        <f t="shared" si="19"/>
        <v>94.935231892877255</v>
      </c>
      <c r="L30" s="117">
        <f t="shared" si="19"/>
        <v>85.028946825794719</v>
      </c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</row>
    <row r="31" spans="1:55" ht="15.75" outlineLevel="1" x14ac:dyDescent="0.25">
      <c r="A31" s="4"/>
      <c r="B31" s="4"/>
      <c r="C31" s="37"/>
      <c r="D31" s="24"/>
      <c r="E31" s="61"/>
      <c r="F31" s="61"/>
      <c r="G31" s="61"/>
      <c r="H31" s="78"/>
      <c r="I31" s="78"/>
      <c r="J31" s="78"/>
      <c r="K31" s="78"/>
      <c r="L31" s="78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</row>
    <row r="32" spans="1:55" ht="15.75" outlineLevel="1" x14ac:dyDescent="0.25">
      <c r="A32" s="4"/>
      <c r="B32" s="4"/>
      <c r="C32" s="77" t="s">
        <v>76</v>
      </c>
      <c r="D32" s="24" t="s">
        <v>49</v>
      </c>
      <c r="E32" s="52">
        <f>+E101/E61</f>
        <v>0.17055863505916577</v>
      </c>
      <c r="F32" s="52">
        <f>+F101/F61</f>
        <v>0.18399969839205263</v>
      </c>
      <c r="G32" s="52">
        <f>+G101/G61</f>
        <v>0.18162843070838749</v>
      </c>
      <c r="H32" s="75">
        <f t="shared" ref="H32:H33" si="20">AVERAGE(E32:G32)</f>
        <v>0.17872892138653529</v>
      </c>
      <c r="I32" s="75">
        <f t="shared" ref="I32:L32" si="21">+H32</f>
        <v>0.17872892138653529</v>
      </c>
      <c r="J32" s="75">
        <f t="shared" si="21"/>
        <v>0.17872892138653529</v>
      </c>
      <c r="K32" s="75">
        <f t="shared" si="21"/>
        <v>0.17872892138653529</v>
      </c>
      <c r="L32" s="75">
        <f t="shared" si="21"/>
        <v>0.17872892138653529</v>
      </c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</row>
    <row r="33" spans="1:55" ht="15.75" outlineLevel="1" x14ac:dyDescent="0.25">
      <c r="A33" s="4"/>
      <c r="B33" s="4"/>
      <c r="C33" s="77" t="s">
        <v>77</v>
      </c>
      <c r="D33" s="24" t="s">
        <v>49</v>
      </c>
      <c r="E33" s="52">
        <f>+E102/E66</f>
        <v>0.27040951122853368</v>
      </c>
      <c r="F33" s="52">
        <f>+F102/F66</f>
        <v>0.26718819563696494</v>
      </c>
      <c r="G33" s="52">
        <f>+G102/G66</f>
        <v>0.27142241113780569</v>
      </c>
      <c r="H33" s="75">
        <f t="shared" si="20"/>
        <v>0.26967337266776809</v>
      </c>
      <c r="I33" s="75">
        <f t="shared" ref="I33:L33" si="22">+H33</f>
        <v>0.26967337266776809</v>
      </c>
      <c r="J33" s="75">
        <f t="shared" si="22"/>
        <v>0.26967337266776809</v>
      </c>
      <c r="K33" s="75">
        <f t="shared" si="22"/>
        <v>0.26967337266776809</v>
      </c>
      <c r="L33" s="75">
        <f t="shared" si="22"/>
        <v>0.26967337266776809</v>
      </c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</row>
    <row r="34" spans="1:55" ht="15.75" outlineLevel="1" x14ac:dyDescent="0.25">
      <c r="A34" s="4"/>
      <c r="B34" s="4"/>
      <c r="C34" s="27"/>
      <c r="D34" s="22"/>
      <c r="E34" s="23"/>
      <c r="F34" s="23"/>
      <c r="G34" s="23"/>
      <c r="H34" s="4"/>
      <c r="I34" s="4"/>
      <c r="J34" s="4"/>
      <c r="K34" s="4"/>
      <c r="L34" s="4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</row>
    <row r="35" spans="1:55" ht="15.75" outlineLevel="1" x14ac:dyDescent="0.25">
      <c r="A35" s="4"/>
      <c r="B35" s="20" t="s">
        <v>20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</row>
    <row r="36" spans="1:55" ht="15.75" outlineLevel="1" x14ac:dyDescent="0.25">
      <c r="A36" s="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</row>
    <row r="37" spans="1:55" ht="15.75" outlineLevel="1" x14ac:dyDescent="0.25">
      <c r="A37" s="4"/>
      <c r="B37" s="43"/>
      <c r="C37" s="129" t="s">
        <v>104</v>
      </c>
      <c r="D37" s="115" t="s">
        <v>49</v>
      </c>
      <c r="E37" s="113">
        <f>+E129/E58</f>
        <v>5.5697664823830349E-3</v>
      </c>
      <c r="F37" s="113">
        <f t="shared" ref="F37:G37" si="23">+F129/F58</f>
        <v>1.3004936567758373E-3</v>
      </c>
      <c r="G37" s="113">
        <f t="shared" si="23"/>
        <v>7.2972142564522741E-4</v>
      </c>
      <c r="H37" s="75">
        <f t="shared" ref="H37" si="24">AVERAGE(E37:G37)</f>
        <v>2.5333271882680333E-3</v>
      </c>
      <c r="I37" s="75">
        <f t="shared" ref="I37:L37" si="25">+H37</f>
        <v>2.5333271882680333E-3</v>
      </c>
      <c r="J37" s="75">
        <f t="shared" si="25"/>
        <v>2.5333271882680333E-3</v>
      </c>
      <c r="K37" s="75">
        <f t="shared" si="25"/>
        <v>2.5333271882680333E-3</v>
      </c>
      <c r="L37" s="75">
        <f t="shared" si="25"/>
        <v>2.5333271882680333E-3</v>
      </c>
      <c r="M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</row>
    <row r="38" spans="1:55" ht="15.75" outlineLevel="1" x14ac:dyDescent="0.25">
      <c r="A38" s="4"/>
      <c r="B38" s="122"/>
      <c r="C38" s="126" t="s">
        <v>71</v>
      </c>
      <c r="D38" s="115" t="s">
        <v>49</v>
      </c>
      <c r="E38" s="113">
        <f>-E128/E79</f>
        <v>-0.26038781163434904</v>
      </c>
      <c r="F38" s="113">
        <f>-F128/F79</f>
        <v>0.43163538873994639</v>
      </c>
      <c r="G38" s="113">
        <f>-G128/G79</f>
        <v>0.19326818675352878</v>
      </c>
      <c r="H38" s="54">
        <v>0.15</v>
      </c>
      <c r="I38" s="54">
        <v>0.125</v>
      </c>
      <c r="J38" s="54">
        <v>0.1</v>
      </c>
      <c r="K38" s="54">
        <v>0.1</v>
      </c>
      <c r="L38" s="54">
        <v>0.1</v>
      </c>
      <c r="M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</row>
    <row r="39" spans="1:55" ht="15.75" outlineLevel="1" x14ac:dyDescent="0.25">
      <c r="A39" s="4"/>
      <c r="B39" s="122"/>
      <c r="C39" s="123" t="s">
        <v>78</v>
      </c>
      <c r="D39" s="115" t="s">
        <v>49</v>
      </c>
      <c r="E39" s="113">
        <f>+E127/E66</f>
        <v>7.397622192866579E-3</v>
      </c>
      <c r="F39" s="113">
        <f>+F127/F66</f>
        <v>8.3953443999236783E-3</v>
      </c>
      <c r="G39" s="113">
        <f>+G127/G66</f>
        <v>9.0556274256144882E-3</v>
      </c>
      <c r="H39" s="75">
        <f t="shared" ref="H39" si="26">AVERAGE(E39:G39)</f>
        <v>8.282864672801581E-3</v>
      </c>
      <c r="I39" s="75">
        <f t="shared" ref="I39:L39" si="27">+H39</f>
        <v>8.282864672801581E-3</v>
      </c>
      <c r="J39" s="75">
        <f t="shared" si="27"/>
        <v>8.282864672801581E-3</v>
      </c>
      <c r="K39" s="75">
        <f t="shared" si="27"/>
        <v>8.282864672801581E-3</v>
      </c>
      <c r="L39" s="75">
        <f t="shared" si="27"/>
        <v>8.282864672801581E-3</v>
      </c>
      <c r="M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</row>
    <row r="40" spans="1:55" ht="15.75" outlineLevel="1" x14ac:dyDescent="0.25">
      <c r="A40" s="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</row>
    <row r="41" spans="1:55" ht="15.75" outlineLevel="1" x14ac:dyDescent="0.25">
      <c r="A41" s="4"/>
      <c r="B41" s="122"/>
      <c r="C41" s="123" t="s">
        <v>58</v>
      </c>
      <c r="D41" s="24" t="s">
        <v>57</v>
      </c>
      <c r="E41" s="124">
        <f>-E140</f>
        <v>2533</v>
      </c>
      <c r="F41" s="124">
        <f t="shared" ref="F41:G41" si="28">-F140</f>
        <v>3516</v>
      </c>
      <c r="G41" s="124">
        <f t="shared" si="28"/>
        <v>3027</v>
      </c>
      <c r="H41" s="120">
        <f>+H42*(H58-G58)</f>
        <v>3158.5714621416419</v>
      </c>
      <c r="I41" s="120">
        <f t="shared" ref="I41:L41" si="29">+I42*(I58-H58)</f>
        <v>3269.1214633165996</v>
      </c>
      <c r="J41" s="120">
        <f t="shared" si="29"/>
        <v>2900.1777553137267</v>
      </c>
      <c r="K41" s="120">
        <f t="shared" si="29"/>
        <v>2987.1830879731447</v>
      </c>
      <c r="L41" s="120">
        <f t="shared" si="29"/>
        <v>2563.9988171769342</v>
      </c>
      <c r="M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</row>
    <row r="42" spans="1:55" ht="15.75" outlineLevel="1" x14ac:dyDescent="0.25">
      <c r="A42" s="4"/>
      <c r="B42" s="122"/>
      <c r="C42" s="109" t="s">
        <v>72</v>
      </c>
      <c r="D42" s="115" t="s">
        <v>49</v>
      </c>
      <c r="E42" s="113">
        <f>+E41/(E58-70271)</f>
        <v>1.0368399508800654</v>
      </c>
      <c r="F42" s="113">
        <f>+F41/(F58-E58)</f>
        <v>1.3308099924299772</v>
      </c>
      <c r="G42" s="113">
        <f>+G41/(G58-F58)</f>
        <v>1.0983309143686502</v>
      </c>
      <c r="H42" s="75">
        <f t="shared" ref="H42" si="30">AVERAGE(E42:G42)</f>
        <v>1.1553269525595642</v>
      </c>
      <c r="I42" s="75">
        <f t="shared" ref="I42:L44" si="31">+H42</f>
        <v>1.1553269525595642</v>
      </c>
      <c r="J42" s="75">
        <f t="shared" si="31"/>
        <v>1.1553269525595642</v>
      </c>
      <c r="K42" s="75">
        <f t="shared" si="31"/>
        <v>1.1553269525595642</v>
      </c>
      <c r="L42" s="75">
        <f t="shared" si="31"/>
        <v>1.1553269525595642</v>
      </c>
      <c r="M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</row>
    <row r="43" spans="1:55" ht="15.75" outlineLevel="1" x14ac:dyDescent="0.25">
      <c r="A43" s="4"/>
      <c r="B43" s="122"/>
      <c r="C43" s="109"/>
      <c r="D43" s="109"/>
      <c r="E43" s="109"/>
      <c r="F43" s="109"/>
      <c r="G43" s="109"/>
      <c r="H43" s="125"/>
      <c r="I43" s="109"/>
      <c r="J43" s="109"/>
      <c r="K43" s="109"/>
      <c r="L43" s="109"/>
      <c r="M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</row>
    <row r="44" spans="1:55" ht="15.75" outlineLevel="1" x14ac:dyDescent="0.25">
      <c r="C44" s="122" t="s">
        <v>105</v>
      </c>
      <c r="D44" s="24" t="s">
        <v>57</v>
      </c>
      <c r="E44" s="124">
        <f>+E141</f>
        <v>31</v>
      </c>
      <c r="F44" s="124">
        <f t="shared" ref="F44:G44" si="32">+F141</f>
        <v>85</v>
      </c>
      <c r="G44" s="124">
        <f t="shared" si="32"/>
        <v>63</v>
      </c>
      <c r="H44" s="128">
        <f t="shared" ref="H44" si="33">AVERAGE(E44:G44)</f>
        <v>59.666666666666664</v>
      </c>
      <c r="I44" s="128">
        <f t="shared" si="31"/>
        <v>59.666666666666664</v>
      </c>
      <c r="J44" s="128">
        <f t="shared" si="31"/>
        <v>59.666666666666664</v>
      </c>
      <c r="K44" s="128">
        <f t="shared" si="31"/>
        <v>59.666666666666664</v>
      </c>
      <c r="L44" s="128">
        <f t="shared" si="31"/>
        <v>59.666666666666664</v>
      </c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</row>
    <row r="45" spans="1:55" ht="15.75" outlineLevel="1" x14ac:dyDescent="0.25">
      <c r="C45" s="122" t="s">
        <v>106</v>
      </c>
      <c r="D45" s="24" t="s">
        <v>57</v>
      </c>
      <c r="E45" s="124">
        <f t="shared" ref="E45:G45" si="34">+E142</f>
        <v>-573</v>
      </c>
      <c r="F45" s="124">
        <f t="shared" si="34"/>
        <v>15</v>
      </c>
      <c r="G45" s="124">
        <f t="shared" si="34"/>
        <v>20</v>
      </c>
      <c r="H45" s="119">
        <v>-50</v>
      </c>
      <c r="I45" s="119">
        <v>-70</v>
      </c>
      <c r="J45" s="119">
        <v>-90</v>
      </c>
      <c r="K45" s="119">
        <v>-100</v>
      </c>
      <c r="L45" s="119">
        <v>-100</v>
      </c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</row>
    <row r="46" spans="1:55" ht="15.75" outlineLevel="1" x14ac:dyDescent="0.25">
      <c r="B46" s="122"/>
      <c r="C46" s="122"/>
      <c r="D46" s="122"/>
      <c r="E46" s="122"/>
      <c r="F46" s="122"/>
      <c r="G46" s="122"/>
      <c r="H46" s="122"/>
      <c r="I46" s="122"/>
      <c r="J46" s="122"/>
      <c r="K46" s="124"/>
      <c r="L46" s="122"/>
      <c r="M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</row>
    <row r="47" spans="1:55" ht="15.75" outlineLevel="1" x14ac:dyDescent="0.25">
      <c r="B47" s="122"/>
      <c r="C47" s="122" t="s">
        <v>102</v>
      </c>
      <c r="D47" s="24" t="s">
        <v>57</v>
      </c>
      <c r="E47" s="124">
        <f>+E146</f>
        <v>739</v>
      </c>
      <c r="F47" s="124">
        <f t="shared" ref="F47:G47" si="35">+F146</f>
        <v>0</v>
      </c>
      <c r="G47" s="124">
        <f t="shared" si="35"/>
        <v>1739</v>
      </c>
      <c r="H47" s="119">
        <v>425</v>
      </c>
      <c r="I47" s="119">
        <v>0</v>
      </c>
      <c r="J47" s="119">
        <v>125</v>
      </c>
      <c r="K47" s="119">
        <v>150</v>
      </c>
      <c r="L47" s="119">
        <v>0</v>
      </c>
      <c r="M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</row>
    <row r="48" spans="1:55" ht="15.75" outlineLevel="1" x14ac:dyDescent="0.25">
      <c r="B48" s="122"/>
      <c r="C48" s="122" t="s">
        <v>103</v>
      </c>
      <c r="D48" s="24" t="s">
        <v>57</v>
      </c>
      <c r="E48" s="124">
        <f t="shared" ref="E48:G48" si="36">+E147</f>
        <v>-2192</v>
      </c>
      <c r="F48" s="124">
        <f t="shared" si="36"/>
        <v>-281</v>
      </c>
      <c r="G48" s="124">
        <f t="shared" si="36"/>
        <v>-2069</v>
      </c>
      <c r="H48" s="119">
        <v>-1550</v>
      </c>
      <c r="I48" s="119">
        <v>-625</v>
      </c>
      <c r="J48" s="119">
        <v>-1500</v>
      </c>
      <c r="K48" s="119">
        <v>-1250</v>
      </c>
      <c r="L48" s="119">
        <v>-750</v>
      </c>
      <c r="M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</row>
    <row r="49" spans="1:55" ht="15.75" outlineLevel="1" x14ac:dyDescent="0.25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</row>
    <row r="50" spans="1:55" ht="15.75" outlineLevel="1" x14ac:dyDescent="0.25">
      <c r="A50" s="4"/>
      <c r="B50" s="122"/>
      <c r="C50" s="112" t="s">
        <v>62</v>
      </c>
      <c r="D50" s="115" t="s">
        <v>49</v>
      </c>
      <c r="E50" s="113">
        <f>-E148/E80</f>
        <v>0.46011004126547456</v>
      </c>
      <c r="F50" s="113">
        <f t="shared" ref="F50:G50" si="37">-F148/F80</f>
        <v>0.45563139931740615</v>
      </c>
      <c r="G50" s="113">
        <f t="shared" si="37"/>
        <v>0.4068522483940043</v>
      </c>
      <c r="H50" s="54">
        <v>0.4</v>
      </c>
      <c r="I50" s="54">
        <v>0.39500000000000002</v>
      </c>
      <c r="J50" s="54">
        <v>0.39</v>
      </c>
      <c r="K50" s="54">
        <v>0.38500000000000001</v>
      </c>
      <c r="L50" s="54">
        <v>0.38</v>
      </c>
      <c r="M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</row>
    <row r="51" spans="1:55" ht="15.75" outlineLevel="1" x14ac:dyDescent="0.25">
      <c r="A51" s="4"/>
      <c r="B51" s="122"/>
      <c r="C51" s="112" t="s">
        <v>59</v>
      </c>
      <c r="D51" s="24" t="s">
        <v>57</v>
      </c>
      <c r="E51" s="124">
        <f>+E149</f>
        <v>-1046</v>
      </c>
      <c r="F51" s="124">
        <f t="shared" ref="F51:G51" si="38">+F149</f>
        <v>-2124</v>
      </c>
      <c r="G51" s="124">
        <f t="shared" si="38"/>
        <v>-1565</v>
      </c>
      <c r="H51" s="128">
        <f t="shared" ref="H51" si="39">AVERAGE(E51:G51)</f>
        <v>-1578.3333333333333</v>
      </c>
      <c r="I51" s="128">
        <f t="shared" ref="I51:L53" si="40">+H51</f>
        <v>-1578.3333333333333</v>
      </c>
      <c r="J51" s="128">
        <f t="shared" si="40"/>
        <v>-1578.3333333333333</v>
      </c>
      <c r="K51" s="128">
        <f t="shared" si="40"/>
        <v>-1578.3333333333333</v>
      </c>
      <c r="L51" s="128">
        <f t="shared" si="40"/>
        <v>-1578.3333333333333</v>
      </c>
      <c r="M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</row>
    <row r="52" spans="1:55" ht="15.75" outlineLevel="1" x14ac:dyDescent="0.25">
      <c r="A52" s="4"/>
      <c r="B52" s="122"/>
      <c r="C52" s="109"/>
      <c r="D52" s="24"/>
      <c r="E52" s="127"/>
      <c r="F52" s="127"/>
      <c r="G52" s="127"/>
      <c r="H52" s="122"/>
      <c r="I52" s="122"/>
      <c r="J52" s="122"/>
      <c r="K52" s="122"/>
      <c r="L52" s="122"/>
      <c r="M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</row>
    <row r="53" spans="1:55" ht="15.75" outlineLevel="1" x14ac:dyDescent="0.25">
      <c r="A53" s="4"/>
      <c r="B53" s="122"/>
      <c r="C53" s="123" t="s">
        <v>107</v>
      </c>
      <c r="D53" s="24" t="s">
        <v>57</v>
      </c>
      <c r="E53" s="124">
        <f>+E150</f>
        <v>108</v>
      </c>
      <c r="F53" s="124">
        <f t="shared" ref="F53:G53" si="41">+F150</f>
        <v>96</v>
      </c>
      <c r="G53" s="124">
        <f t="shared" si="41"/>
        <v>73</v>
      </c>
      <c r="H53" s="128">
        <f t="shared" ref="H53" si="42">AVERAGE(E53:G53)</f>
        <v>92.333333333333329</v>
      </c>
      <c r="I53" s="128">
        <f t="shared" si="40"/>
        <v>92.333333333333329</v>
      </c>
      <c r="J53" s="128">
        <f t="shared" si="40"/>
        <v>92.333333333333329</v>
      </c>
      <c r="K53" s="128">
        <f t="shared" si="40"/>
        <v>92.333333333333329</v>
      </c>
      <c r="L53" s="128">
        <f t="shared" si="40"/>
        <v>92.333333333333329</v>
      </c>
      <c r="M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</row>
    <row r="54" spans="1:55" ht="15.75" x14ac:dyDescent="0.25">
      <c r="A54" s="4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</row>
    <row r="55" spans="1:55" ht="15.75" x14ac:dyDescent="0.25">
      <c r="A55" s="4"/>
      <c r="B55" s="14"/>
      <c r="C55" s="14"/>
      <c r="D55" s="14"/>
      <c r="E55" s="15" t="str">
        <f>$E$11</f>
        <v>Historical</v>
      </c>
      <c r="F55" s="15"/>
      <c r="G55" s="15"/>
      <c r="H55" s="16" t="str">
        <f>$H$11</f>
        <v>Projected</v>
      </c>
      <c r="I55" s="15"/>
      <c r="J55" s="15"/>
      <c r="K55" s="15"/>
      <c r="L55" s="15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</row>
    <row r="56" spans="1:55" ht="15.75" x14ac:dyDescent="0.25">
      <c r="A56" s="4"/>
      <c r="B56" s="55" t="s">
        <v>7</v>
      </c>
      <c r="C56" s="55"/>
      <c r="D56" s="56" t="str">
        <f>$D$12</f>
        <v>Units:</v>
      </c>
      <c r="E56" s="57">
        <f>$E$12</f>
        <v>43131</v>
      </c>
      <c r="F56" s="57">
        <f>$F$12</f>
        <v>43496</v>
      </c>
      <c r="G56" s="57">
        <f>$G$12</f>
        <v>43861</v>
      </c>
      <c r="H56" s="58">
        <f>$H$12</f>
        <v>44227</v>
      </c>
      <c r="I56" s="57">
        <f>$I$12</f>
        <v>44592</v>
      </c>
      <c r="J56" s="57">
        <f>$J$12</f>
        <v>44957</v>
      </c>
      <c r="K56" s="57">
        <f>$K$12</f>
        <v>45322</v>
      </c>
      <c r="L56" s="57">
        <f>$L$12</f>
        <v>45688</v>
      </c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</row>
    <row r="57" spans="1:55" ht="15.75" outlineLevel="1" x14ac:dyDescent="0.25">
      <c r="A57" s="4"/>
      <c r="B57" s="4"/>
      <c r="C57" s="82"/>
      <c r="D57" s="4"/>
      <c r="E57" s="4"/>
      <c r="F57" s="4"/>
      <c r="G57" s="4"/>
      <c r="H57" s="4"/>
      <c r="I57" s="4"/>
      <c r="J57" s="4"/>
      <c r="K57" s="4"/>
      <c r="L57" s="4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</row>
    <row r="58" spans="1:55" ht="15.75" outlineLevel="1" x14ac:dyDescent="0.25">
      <c r="A58" s="4"/>
      <c r="B58" s="4"/>
      <c r="C58" s="48" t="s">
        <v>23</v>
      </c>
      <c r="D58" s="67" t="s">
        <v>57</v>
      </c>
      <c r="E58" s="85">
        <v>72714</v>
      </c>
      <c r="F58" s="85">
        <v>75356</v>
      </c>
      <c r="G58" s="85">
        <v>78112</v>
      </c>
      <c r="H58" s="100">
        <f>+G58*(1+H14)</f>
        <v>80845.919999999998</v>
      </c>
      <c r="I58" s="100">
        <f t="shared" ref="I58:L58" si="43">+H58*(1+I14)</f>
        <v>83675.527199999997</v>
      </c>
      <c r="J58" s="100">
        <f t="shared" si="43"/>
        <v>86185.793015999996</v>
      </c>
      <c r="K58" s="100">
        <f t="shared" si="43"/>
        <v>88771.36680648</v>
      </c>
      <c r="L58" s="100">
        <f t="shared" si="43"/>
        <v>90990.650976641991</v>
      </c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</row>
    <row r="59" spans="1:55" ht="15.75" outlineLevel="1" x14ac:dyDescent="0.25">
      <c r="A59" s="4"/>
      <c r="B59" s="4"/>
      <c r="C59" s="28" t="s">
        <v>22</v>
      </c>
      <c r="D59" s="24" t="s">
        <v>49</v>
      </c>
      <c r="E59" s="69" t="str">
        <f>IFERROR(+E58/D58-1,"N/A")</f>
        <v>N/A</v>
      </c>
      <c r="F59" s="69">
        <f>IFERROR(+F58/E58-1,"N/A")</f>
        <v>3.6334130978903589E-2</v>
      </c>
      <c r="G59" s="69">
        <f>IFERROR(+G58/F58-1,"N/A")</f>
        <v>3.6573066510961372E-2</v>
      </c>
      <c r="H59" s="69">
        <f>IFERROR(+H58/G58-1,"N/A")</f>
        <v>3.499999999999992E-2</v>
      </c>
      <c r="I59" s="69">
        <f t="shared" ref="I59:L59" si="44">IFERROR(+I58/H58-1,"N/A")</f>
        <v>3.499999999999992E-2</v>
      </c>
      <c r="J59" s="69">
        <f t="shared" si="44"/>
        <v>3.0000000000000027E-2</v>
      </c>
      <c r="K59" s="69">
        <f t="shared" si="44"/>
        <v>3.0000000000000027E-2</v>
      </c>
      <c r="L59" s="69">
        <f t="shared" si="44"/>
        <v>2.4999999999999911E-2</v>
      </c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</row>
    <row r="60" spans="1:55" ht="15.75" outlineLevel="1" x14ac:dyDescent="0.25">
      <c r="A60" s="4"/>
      <c r="B60" s="4"/>
      <c r="C60" s="4"/>
      <c r="D60" s="4"/>
      <c r="E60" s="25"/>
      <c r="F60" s="25"/>
      <c r="G60" s="25"/>
      <c r="H60" s="4"/>
      <c r="I60" s="4"/>
      <c r="J60" s="4"/>
      <c r="K60" s="4"/>
      <c r="L60" s="4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</row>
    <row r="61" spans="1:55" ht="15.75" outlineLevel="1" x14ac:dyDescent="0.25">
      <c r="A61" s="4"/>
      <c r="B61" s="4"/>
      <c r="C61" s="68" t="s">
        <v>67</v>
      </c>
      <c r="D61" s="24" t="s">
        <v>57</v>
      </c>
      <c r="E61" s="86">
        <v>50874</v>
      </c>
      <c r="F61" s="86">
        <v>53049</v>
      </c>
      <c r="G61" s="86">
        <v>54617</v>
      </c>
      <c r="H61" s="87">
        <f>+H58*(1-H16)</f>
        <v>56668.613013778355</v>
      </c>
      <c r="I61" s="87">
        <f t="shared" ref="I61:L61" si="45">+I58*(1-I16)</f>
        <v>58652.01446926059</v>
      </c>
      <c r="J61" s="87">
        <f t="shared" si="45"/>
        <v>60411.574903338413</v>
      </c>
      <c r="K61" s="87">
        <f t="shared" si="45"/>
        <v>62223.922150438564</v>
      </c>
      <c r="L61" s="87">
        <f t="shared" si="45"/>
        <v>63779.520204199522</v>
      </c>
    </row>
    <row r="62" spans="1:55" ht="15.75" outlineLevel="1" x14ac:dyDescent="0.25">
      <c r="A62" s="4"/>
      <c r="B62" s="4"/>
      <c r="C62" s="29"/>
      <c r="D62" s="29"/>
      <c r="E62" s="30"/>
      <c r="F62" s="30"/>
      <c r="G62" s="30"/>
      <c r="H62" s="31"/>
      <c r="I62" s="31"/>
      <c r="J62" s="31"/>
      <c r="K62" s="31"/>
      <c r="L62" s="31"/>
    </row>
    <row r="63" spans="1:55" ht="15.75" outlineLevel="1" x14ac:dyDescent="0.25">
      <c r="A63" s="4"/>
      <c r="B63" s="4"/>
      <c r="C63" s="32" t="s">
        <v>8</v>
      </c>
      <c r="D63" s="24" t="s">
        <v>57</v>
      </c>
      <c r="E63" s="88">
        <f>+E58-E61</f>
        <v>21840</v>
      </c>
      <c r="F63" s="88">
        <f t="shared" ref="F63:H63" si="46">+F58-F61</f>
        <v>22307</v>
      </c>
      <c r="G63" s="88">
        <f t="shared" si="46"/>
        <v>23495</v>
      </c>
      <c r="H63" s="88">
        <f t="shared" si="46"/>
        <v>24177.306986221643</v>
      </c>
      <c r="I63" s="88">
        <f t="shared" ref="I63:L63" si="47">+I58-I61</f>
        <v>25023.512730739407</v>
      </c>
      <c r="J63" s="88">
        <f t="shared" si="47"/>
        <v>25774.218112661583</v>
      </c>
      <c r="K63" s="88">
        <f t="shared" si="47"/>
        <v>26547.444656041436</v>
      </c>
      <c r="L63" s="88">
        <f t="shared" si="47"/>
        <v>27211.13077244247</v>
      </c>
    </row>
    <row r="64" spans="1:55" ht="15.75" outlineLevel="1" x14ac:dyDescent="0.25">
      <c r="A64" s="4"/>
      <c r="B64" s="4"/>
      <c r="C64" s="28"/>
      <c r="D64" s="4"/>
      <c r="E64" s="34"/>
      <c r="F64" s="34"/>
      <c r="G64" s="34"/>
      <c r="H64" s="25"/>
      <c r="I64" s="25"/>
      <c r="J64" s="25"/>
      <c r="K64" s="25"/>
      <c r="L64" s="25"/>
    </row>
    <row r="65" spans="1:27" ht="15.75" outlineLevel="1" x14ac:dyDescent="0.25">
      <c r="A65" s="4"/>
      <c r="B65" s="4"/>
      <c r="C65" s="5" t="s">
        <v>54</v>
      </c>
      <c r="D65" s="4"/>
      <c r="E65" s="25"/>
      <c r="F65" s="25"/>
      <c r="G65" s="25"/>
      <c r="H65" s="25"/>
      <c r="I65" s="25"/>
      <c r="J65" s="25"/>
      <c r="K65" s="25"/>
      <c r="L65" s="25"/>
    </row>
    <row r="66" spans="1:27" ht="15.75" outlineLevel="1" x14ac:dyDescent="0.25">
      <c r="A66" s="4"/>
      <c r="B66" s="4"/>
      <c r="C66" s="70" t="s">
        <v>68</v>
      </c>
      <c r="D66" s="24" t="s">
        <v>57</v>
      </c>
      <c r="E66" s="86">
        <v>15140</v>
      </c>
      <c r="F66" s="86">
        <v>15723</v>
      </c>
      <c r="G66" s="86">
        <v>16233</v>
      </c>
      <c r="H66" s="87">
        <f>+H58*H17</f>
        <v>16834.265371969246</v>
      </c>
      <c r="I66" s="87">
        <f t="shared" ref="I66:L66" si="48">+I58*I17</f>
        <v>17423.464659988171</v>
      </c>
      <c r="J66" s="87">
        <f t="shared" si="48"/>
        <v>17946.168599787816</v>
      </c>
      <c r="K66" s="87">
        <f t="shared" si="48"/>
        <v>18484.553657781449</v>
      </c>
      <c r="L66" s="87">
        <f t="shared" si="48"/>
        <v>18946.667499225987</v>
      </c>
    </row>
    <row r="67" spans="1:27" ht="15.75" outlineLevel="1" x14ac:dyDescent="0.25">
      <c r="A67" s="4"/>
      <c r="B67" s="4"/>
      <c r="C67" s="83" t="s">
        <v>81</v>
      </c>
      <c r="D67" s="67" t="s">
        <v>57</v>
      </c>
      <c r="E67" s="86">
        <v>2476</v>
      </c>
      <c r="F67" s="86">
        <v>2474</v>
      </c>
      <c r="G67" s="86">
        <v>2604</v>
      </c>
      <c r="H67" s="87">
        <f>+H58*H18</f>
        <v>2700.7601264489513</v>
      </c>
      <c r="I67" s="87">
        <f t="shared" ref="I67:L67" si="49">+I58*I18</f>
        <v>2795.2867308746645</v>
      </c>
      <c r="J67" s="87">
        <f t="shared" si="49"/>
        <v>2879.1453328009043</v>
      </c>
      <c r="K67" s="87">
        <f t="shared" si="49"/>
        <v>2965.5196927849315</v>
      </c>
      <c r="L67" s="87">
        <f t="shared" si="49"/>
        <v>3039.6576851045547</v>
      </c>
    </row>
    <row r="68" spans="1:27" ht="15.75" outlineLevel="1" x14ac:dyDescent="0.25">
      <c r="A68" s="4"/>
      <c r="B68" s="4"/>
      <c r="C68" s="84" t="s">
        <v>55</v>
      </c>
      <c r="D68" s="73" t="s">
        <v>57</v>
      </c>
      <c r="E68" s="89">
        <f>SUM(E66:E67)</f>
        <v>17616</v>
      </c>
      <c r="F68" s="89">
        <f>SUM(F66:F67)</f>
        <v>18197</v>
      </c>
      <c r="G68" s="89">
        <f>SUM(G66:G67)</f>
        <v>18837</v>
      </c>
      <c r="H68" s="89">
        <f>SUM(H66:H67)</f>
        <v>19535.025498418196</v>
      </c>
      <c r="I68" s="89">
        <f t="shared" ref="I68:L68" si="50">SUM(I66:I67)</f>
        <v>20218.751390862835</v>
      </c>
      <c r="J68" s="89">
        <f t="shared" si="50"/>
        <v>20825.31393258872</v>
      </c>
      <c r="K68" s="89">
        <f t="shared" si="50"/>
        <v>21450.073350566381</v>
      </c>
      <c r="L68" s="89">
        <f t="shared" si="50"/>
        <v>21986.325184330541</v>
      </c>
    </row>
    <row r="69" spans="1:27" ht="15.75" outlineLevel="1" x14ac:dyDescent="0.25">
      <c r="A69" s="4"/>
      <c r="B69" s="4"/>
      <c r="C69" s="36"/>
      <c r="D69" s="29"/>
      <c r="E69" s="30"/>
      <c r="F69" s="30"/>
      <c r="G69" s="30"/>
      <c r="H69" s="30"/>
      <c r="I69" s="30"/>
      <c r="J69" s="30"/>
      <c r="K69" s="30"/>
      <c r="L69" s="30"/>
    </row>
    <row r="70" spans="1:27" ht="15.75" outlineLevel="1" x14ac:dyDescent="0.25">
      <c r="A70" s="4"/>
      <c r="B70" s="4"/>
      <c r="C70" s="32" t="s">
        <v>79</v>
      </c>
      <c r="D70" s="24" t="s">
        <v>57</v>
      </c>
      <c r="E70" s="88">
        <f>+E63-E68</f>
        <v>4224</v>
      </c>
      <c r="F70" s="88">
        <f>+F63-F68</f>
        <v>4110</v>
      </c>
      <c r="G70" s="88">
        <f>+G63-G68</f>
        <v>4658</v>
      </c>
      <c r="H70" s="88">
        <f>+H63-H68</f>
        <v>4642.2814878034478</v>
      </c>
      <c r="I70" s="88">
        <f t="shared" ref="I70:L70" si="51">+I63-I68</f>
        <v>4804.7613398765716</v>
      </c>
      <c r="J70" s="88">
        <f t="shared" si="51"/>
        <v>4948.9041800728628</v>
      </c>
      <c r="K70" s="88">
        <f t="shared" si="51"/>
        <v>5097.3713054750551</v>
      </c>
      <c r="L70" s="88">
        <f t="shared" si="51"/>
        <v>5224.805588111929</v>
      </c>
    </row>
    <row r="71" spans="1:27" ht="15.75" outlineLevel="1" x14ac:dyDescent="0.25">
      <c r="A71" s="4"/>
      <c r="B71" s="4"/>
      <c r="C71" s="28" t="s">
        <v>80</v>
      </c>
      <c r="D71" s="24" t="s">
        <v>49</v>
      </c>
      <c r="E71" s="69">
        <f>+E70/E58</f>
        <v>5.8090601534780101E-2</v>
      </c>
      <c r="F71" s="69">
        <f>+F70/F58</f>
        <v>5.4541111523966242E-2</v>
      </c>
      <c r="G71" s="69">
        <f>+G70/G58</f>
        <v>5.9632322818516999E-2</v>
      </c>
      <c r="H71" s="69">
        <f>+H70/H58</f>
        <v>5.7421345292421037E-2</v>
      </c>
      <c r="I71" s="69">
        <f t="shared" ref="I71:L71" si="52">+I70/I58</f>
        <v>5.7421345292421079E-2</v>
      </c>
      <c r="J71" s="69">
        <f t="shared" si="52"/>
        <v>5.742134529242101E-2</v>
      </c>
      <c r="K71" s="69">
        <f t="shared" si="52"/>
        <v>5.7421345292421079E-2</v>
      </c>
      <c r="L71" s="69">
        <f t="shared" si="52"/>
        <v>5.7421345292421058E-2</v>
      </c>
    </row>
    <row r="72" spans="1:27" ht="15.75" outlineLevel="1" x14ac:dyDescent="0.25">
      <c r="A72" s="4"/>
      <c r="B72" s="4"/>
      <c r="C72" s="4"/>
      <c r="D72" s="4"/>
      <c r="E72" s="25"/>
      <c r="F72" s="25"/>
      <c r="G72" s="25"/>
      <c r="H72" s="25"/>
      <c r="I72" s="25"/>
      <c r="J72" s="25"/>
      <c r="K72" s="25"/>
      <c r="L72" s="25"/>
    </row>
    <row r="73" spans="1:27" ht="15.75" outlineLevel="1" x14ac:dyDescent="0.25">
      <c r="A73" s="4"/>
      <c r="B73" s="4"/>
      <c r="C73" s="5" t="s">
        <v>24</v>
      </c>
      <c r="D73" s="4"/>
      <c r="E73" s="25"/>
      <c r="F73" s="25"/>
      <c r="G73" s="25"/>
      <c r="H73" s="25"/>
      <c r="I73" s="25"/>
      <c r="J73" s="25"/>
      <c r="K73" s="25"/>
      <c r="L73" s="25"/>
    </row>
    <row r="74" spans="1:27" ht="15.75" outlineLevel="1" x14ac:dyDescent="0.25">
      <c r="A74" s="4"/>
      <c r="B74" s="4"/>
      <c r="C74" s="95" t="s">
        <v>82</v>
      </c>
      <c r="D74" s="24" t="s">
        <v>57</v>
      </c>
      <c r="E74" s="90">
        <v>-653</v>
      </c>
      <c r="F74" s="90">
        <v>-461</v>
      </c>
      <c r="G74" s="90">
        <v>-477</v>
      </c>
      <c r="H74" s="87">
        <f>-G106*H20</f>
        <v>-494.45699999999994</v>
      </c>
      <c r="I74" s="87">
        <f t="shared" ref="I74:L74" si="53">-H106*I20</f>
        <v>-456.45599999999996</v>
      </c>
      <c r="J74" s="87">
        <f t="shared" si="53"/>
        <v>-438.70499999999998</v>
      </c>
      <c r="K74" s="87">
        <f t="shared" si="53"/>
        <v>-376.83</v>
      </c>
      <c r="L74" s="87">
        <f t="shared" si="53"/>
        <v>-327.33</v>
      </c>
    </row>
    <row r="75" spans="1:27" ht="14.45" customHeight="1" outlineLevel="1" x14ac:dyDescent="0.25">
      <c r="A75" s="4"/>
      <c r="B75" s="4"/>
      <c r="C75" s="96" t="s">
        <v>96</v>
      </c>
      <c r="D75" s="60" t="s">
        <v>57</v>
      </c>
      <c r="E75" s="91">
        <v>59</v>
      </c>
      <c r="F75" s="91">
        <v>27</v>
      </c>
      <c r="G75" s="91">
        <v>9</v>
      </c>
      <c r="H75" s="92">
        <f>+H21</f>
        <v>31.666666666666668</v>
      </c>
      <c r="I75" s="92">
        <f t="shared" ref="I75:L75" si="54">+I21</f>
        <v>31.666666666666668</v>
      </c>
      <c r="J75" s="92">
        <f t="shared" si="54"/>
        <v>31.666666666666668</v>
      </c>
      <c r="K75" s="92">
        <f t="shared" si="54"/>
        <v>31.666666666666668</v>
      </c>
      <c r="L75" s="92">
        <f t="shared" si="54"/>
        <v>31.666666666666668</v>
      </c>
    </row>
    <row r="76" spans="1:27" ht="15.75" outlineLevel="1" x14ac:dyDescent="0.25">
      <c r="A76" s="4"/>
      <c r="B76" s="4"/>
      <c r="C76" s="35" t="s">
        <v>25</v>
      </c>
      <c r="D76" s="24" t="s">
        <v>57</v>
      </c>
      <c r="E76" s="93">
        <f>SUM(E74:E75)</f>
        <v>-594</v>
      </c>
      <c r="F76" s="93">
        <f t="shared" ref="F76:L76" si="55">SUM(F74:F75)</f>
        <v>-434</v>
      </c>
      <c r="G76" s="93">
        <f t="shared" si="55"/>
        <v>-468</v>
      </c>
      <c r="H76" s="93">
        <f t="shared" si="55"/>
        <v>-462.79033333333325</v>
      </c>
      <c r="I76" s="93">
        <f t="shared" si="55"/>
        <v>-424.78933333333327</v>
      </c>
      <c r="J76" s="93">
        <f t="shared" si="55"/>
        <v>-407.0383333333333</v>
      </c>
      <c r="K76" s="93">
        <f t="shared" si="55"/>
        <v>-345.1633333333333</v>
      </c>
      <c r="L76" s="93">
        <f t="shared" si="55"/>
        <v>-295.6633333333333</v>
      </c>
      <c r="AA76" s="122"/>
    </row>
    <row r="77" spans="1:27" ht="15.75" outlineLevel="1" x14ac:dyDescent="0.25">
      <c r="A77" s="4"/>
      <c r="B77" s="4"/>
      <c r="C77" s="36"/>
      <c r="D77" s="29"/>
      <c r="E77" s="30"/>
      <c r="F77" s="30"/>
      <c r="G77" s="30"/>
      <c r="H77" s="30"/>
      <c r="I77" s="30"/>
      <c r="J77" s="30"/>
      <c r="K77" s="30"/>
      <c r="L77" s="30"/>
      <c r="AA77" s="122"/>
    </row>
    <row r="78" spans="1:27" ht="15.75" outlineLevel="1" x14ac:dyDescent="0.25">
      <c r="A78" s="4"/>
      <c r="B78" s="4"/>
      <c r="C78" s="32" t="s">
        <v>26</v>
      </c>
      <c r="D78" s="24" t="s">
        <v>57</v>
      </c>
      <c r="E78" s="88">
        <f>+E70+E76</f>
        <v>3630</v>
      </c>
      <c r="F78" s="88">
        <f t="shared" ref="F78:H78" si="56">+F70+F76</f>
        <v>3676</v>
      </c>
      <c r="G78" s="88">
        <f t="shared" si="56"/>
        <v>4190</v>
      </c>
      <c r="H78" s="88">
        <f t="shared" si="56"/>
        <v>4179.4911544701145</v>
      </c>
      <c r="I78" s="88">
        <f t="shared" ref="I78:L78" si="57">+I70+I76</f>
        <v>4379.9720065432384</v>
      </c>
      <c r="J78" s="88">
        <f t="shared" si="57"/>
        <v>4541.8658467395298</v>
      </c>
      <c r="K78" s="88">
        <f t="shared" si="57"/>
        <v>4752.2079721417222</v>
      </c>
      <c r="L78" s="88">
        <f t="shared" si="57"/>
        <v>4929.142254778596</v>
      </c>
      <c r="AA78" s="122"/>
    </row>
    <row r="79" spans="1:27" ht="15.75" outlineLevel="1" x14ac:dyDescent="0.25">
      <c r="A79" s="4"/>
      <c r="B79" s="4"/>
      <c r="C79" s="70" t="s">
        <v>53</v>
      </c>
      <c r="D79" s="60" t="s">
        <v>57</v>
      </c>
      <c r="E79" s="86">
        <v>-722</v>
      </c>
      <c r="F79" s="86">
        <v>-746</v>
      </c>
      <c r="G79" s="86">
        <v>-921</v>
      </c>
      <c r="H79" s="87">
        <f>-H78*H23</f>
        <v>-866.05342243253915</v>
      </c>
      <c r="I79" s="87">
        <f t="shared" ref="I79:L79" si="58">-I78*I23</f>
        <v>-907.59607000685457</v>
      </c>
      <c r="J79" s="87">
        <f t="shared" si="58"/>
        <v>-941.14290841152183</v>
      </c>
      <c r="K79" s="87">
        <f t="shared" si="58"/>
        <v>-984.72896012297679</v>
      </c>
      <c r="L79" s="87">
        <f t="shared" si="58"/>
        <v>-1021.3924043940385</v>
      </c>
      <c r="AA79" s="122"/>
    </row>
    <row r="80" spans="1:27" ht="15.75" outlineLevel="1" x14ac:dyDescent="0.25">
      <c r="A80" s="4"/>
      <c r="B80" s="4"/>
      <c r="C80" s="53" t="s">
        <v>9</v>
      </c>
      <c r="D80" s="24" t="s">
        <v>57</v>
      </c>
      <c r="E80" s="94">
        <f>SUM(E78:E79)</f>
        <v>2908</v>
      </c>
      <c r="F80" s="94">
        <f t="shared" ref="F80:G80" si="59">SUM(F78:F79)</f>
        <v>2930</v>
      </c>
      <c r="G80" s="94">
        <f t="shared" si="59"/>
        <v>3269</v>
      </c>
      <c r="H80" s="94">
        <f>SUM(H78:H79)</f>
        <v>3313.4377320375752</v>
      </c>
      <c r="I80" s="94">
        <f t="shared" ref="I80:L80" si="60">SUM(I78:I79)</f>
        <v>3472.375936536384</v>
      </c>
      <c r="J80" s="94">
        <f t="shared" si="60"/>
        <v>3600.7229383280082</v>
      </c>
      <c r="K80" s="94">
        <f t="shared" si="60"/>
        <v>3767.4790120187454</v>
      </c>
      <c r="L80" s="94">
        <f t="shared" si="60"/>
        <v>3907.7498503845572</v>
      </c>
      <c r="AA80" s="122"/>
    </row>
    <row r="81" spans="1:32" ht="15.75" x14ac:dyDescent="0.25">
      <c r="A81" s="4"/>
      <c r="B81" s="4"/>
      <c r="C81" s="37"/>
      <c r="D81" s="4"/>
      <c r="E81" s="25"/>
      <c r="F81" s="25"/>
      <c r="G81" s="25"/>
      <c r="H81" s="25"/>
      <c r="I81" s="25"/>
      <c r="J81" s="25"/>
      <c r="K81" s="25"/>
      <c r="L81" s="25"/>
      <c r="AA81" s="122"/>
    </row>
    <row r="82" spans="1:32" ht="15.75" x14ac:dyDescent="0.25">
      <c r="A82" s="4"/>
      <c r="B82" s="14"/>
      <c r="C82" s="14"/>
      <c r="D82" s="14"/>
      <c r="E82" s="15" t="str">
        <f>$E$11</f>
        <v>Historical</v>
      </c>
      <c r="F82" s="15"/>
      <c r="G82" s="15"/>
      <c r="H82" s="16" t="str">
        <f>$H$11</f>
        <v>Projected</v>
      </c>
      <c r="I82" s="15"/>
      <c r="J82" s="15"/>
      <c r="K82" s="15"/>
      <c r="L82" s="15"/>
      <c r="AA82" s="122"/>
    </row>
    <row r="83" spans="1:32" ht="15.75" x14ac:dyDescent="0.25">
      <c r="A83" s="4"/>
      <c r="B83" s="55" t="s">
        <v>10</v>
      </c>
      <c r="C83" s="55"/>
      <c r="D83" s="56" t="str">
        <f>$D$12</f>
        <v>Units:</v>
      </c>
      <c r="E83" s="57">
        <f>$E$12</f>
        <v>43131</v>
      </c>
      <c r="F83" s="57">
        <f>$F$12</f>
        <v>43496</v>
      </c>
      <c r="G83" s="57">
        <f>$G$12</f>
        <v>43861</v>
      </c>
      <c r="H83" s="58">
        <f>$H$12</f>
        <v>44227</v>
      </c>
      <c r="I83" s="57">
        <f>$I$12</f>
        <v>44592</v>
      </c>
      <c r="J83" s="57">
        <f>$J$12</f>
        <v>44957</v>
      </c>
      <c r="K83" s="57">
        <f>$K$12</f>
        <v>45322</v>
      </c>
      <c r="L83" s="57">
        <f>$L$12</f>
        <v>45688</v>
      </c>
      <c r="AA83" s="122"/>
    </row>
    <row r="84" spans="1:32" ht="15.75" outlineLevel="1" x14ac:dyDescent="0.25">
      <c r="A84" s="4"/>
      <c r="B84" s="39" t="s">
        <v>27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N84" s="20" t="s">
        <v>134</v>
      </c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3"/>
      <c r="AA84" s="153"/>
      <c r="AB84" s="153"/>
      <c r="AC84" s="153"/>
      <c r="AD84" s="153"/>
      <c r="AE84" s="153"/>
      <c r="AF84" s="153"/>
    </row>
    <row r="85" spans="1:32" ht="15.75" outlineLevel="1" x14ac:dyDescent="0.25">
      <c r="A85" s="4"/>
      <c r="B85" s="4"/>
      <c r="C85" s="5" t="s">
        <v>28</v>
      </c>
      <c r="D85" s="4"/>
      <c r="E85" s="4"/>
      <c r="F85" s="4"/>
      <c r="G85" s="4"/>
      <c r="H85" s="4"/>
      <c r="I85" s="4"/>
      <c r="J85" s="4"/>
      <c r="K85" s="4"/>
      <c r="L85" s="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3"/>
      <c r="Y85" s="153"/>
      <c r="Z85" s="153"/>
      <c r="AA85" s="153"/>
      <c r="AB85" s="153"/>
      <c r="AC85" s="153"/>
      <c r="AD85" s="153"/>
      <c r="AE85" s="153"/>
      <c r="AF85" s="153"/>
    </row>
    <row r="86" spans="1:32" ht="15.75" outlineLevel="1" x14ac:dyDescent="0.25">
      <c r="A86" s="4"/>
      <c r="B86" s="4"/>
      <c r="C86" s="40" t="s">
        <v>11</v>
      </c>
      <c r="D86" s="24" t="s">
        <v>57</v>
      </c>
      <c r="E86" s="99">
        <v>2643</v>
      </c>
      <c r="F86" s="99">
        <v>1556</v>
      </c>
      <c r="G86" s="99">
        <v>2577</v>
      </c>
      <c r="H86" s="108">
        <f>+H155</f>
        <v>1497.538208115895</v>
      </c>
      <c r="I86" s="108">
        <f t="shared" ref="I86:L86" si="61">+I155</f>
        <v>1596.0471296939968</v>
      </c>
      <c r="J86" s="108">
        <f t="shared" si="61"/>
        <v>1450.4675595999379</v>
      </c>
      <c r="K86" s="108">
        <f t="shared" si="61"/>
        <v>1708.4611490890043</v>
      </c>
      <c r="L86" s="108">
        <f t="shared" si="61"/>
        <v>2916.7572973661327</v>
      </c>
      <c r="N86" s="154"/>
      <c r="O86" s="153" t="s">
        <v>135</v>
      </c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</row>
    <row r="87" spans="1:32" ht="15.75" outlineLevel="1" x14ac:dyDescent="0.25">
      <c r="A87" s="4"/>
      <c r="B87" s="4"/>
      <c r="C87" s="40" t="s">
        <v>12</v>
      </c>
      <c r="D87" s="24" t="s">
        <v>57</v>
      </c>
      <c r="E87" s="90">
        <v>8597</v>
      </c>
      <c r="F87" s="90">
        <v>9497</v>
      </c>
      <c r="G87" s="90">
        <v>8992</v>
      </c>
      <c r="H87" s="116">
        <f>+H61*H26</f>
        <v>9683.65865683827</v>
      </c>
      <c r="I87" s="116">
        <f t="shared" ref="I87:L87" si="62">+I61*I26</f>
        <v>10022.586709827609</v>
      </c>
      <c r="J87" s="116">
        <f t="shared" si="62"/>
        <v>10323.264311122437</v>
      </c>
      <c r="K87" s="116">
        <f t="shared" si="62"/>
        <v>10632.962240456111</v>
      </c>
      <c r="L87" s="116">
        <f t="shared" si="62"/>
        <v>10898.786296467513</v>
      </c>
      <c r="N87" s="154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</row>
    <row r="88" spans="1:32" ht="15.75" outlineLevel="1" x14ac:dyDescent="0.25">
      <c r="A88" s="4"/>
      <c r="B88" s="4"/>
      <c r="C88" s="98" t="s">
        <v>84</v>
      </c>
      <c r="D88" s="60" t="s">
        <v>57</v>
      </c>
      <c r="E88" s="91">
        <v>1300</v>
      </c>
      <c r="F88" s="91">
        <v>1466</v>
      </c>
      <c r="G88" s="91">
        <v>1333</v>
      </c>
      <c r="H88" s="92">
        <f>+H58*H27</f>
        <v>1465.9474274125789</v>
      </c>
      <c r="I88" s="92">
        <f t="shared" ref="I88:L88" si="63">+I58*I27</f>
        <v>1517.2555873720191</v>
      </c>
      <c r="J88" s="92">
        <f t="shared" si="63"/>
        <v>1562.7732549931798</v>
      </c>
      <c r="K88" s="92">
        <f t="shared" si="63"/>
        <v>1609.6564526429752</v>
      </c>
      <c r="L88" s="92">
        <f t="shared" si="63"/>
        <v>1649.8978639590496</v>
      </c>
      <c r="N88" s="154"/>
      <c r="O88" s="154" t="s">
        <v>111</v>
      </c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</row>
    <row r="89" spans="1:32" ht="15.75" outlineLevel="1" x14ac:dyDescent="0.25">
      <c r="A89" s="4"/>
      <c r="B89" s="4"/>
      <c r="C89" s="32" t="s">
        <v>13</v>
      </c>
      <c r="D89" s="24" t="s">
        <v>57</v>
      </c>
      <c r="E89" s="88">
        <f>SUM(E86:E88)</f>
        <v>12540</v>
      </c>
      <c r="F89" s="88">
        <f>SUM(F86:F88)</f>
        <v>12519</v>
      </c>
      <c r="G89" s="88">
        <f>SUM(G86:G88)</f>
        <v>12902</v>
      </c>
      <c r="H89" s="88">
        <f>SUM(H86:H88)</f>
        <v>12647.144292366744</v>
      </c>
      <c r="I89" s="88">
        <f t="shared" ref="I89:L89" si="64">SUM(I86:I88)</f>
        <v>13135.889426893624</v>
      </c>
      <c r="J89" s="88">
        <f t="shared" si="64"/>
        <v>13336.505125715554</v>
      </c>
      <c r="K89" s="88">
        <f t="shared" si="64"/>
        <v>13951.07984218809</v>
      </c>
      <c r="L89" s="88">
        <f t="shared" si="64"/>
        <v>15465.441457792695</v>
      </c>
      <c r="N89" s="154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</row>
    <row r="90" spans="1:32" ht="15.75" outlineLevel="1" x14ac:dyDescent="0.25">
      <c r="A90" s="4"/>
      <c r="B90" s="4"/>
      <c r="C90" s="4"/>
      <c r="D90" s="4"/>
      <c r="E90" s="25"/>
      <c r="F90" s="25"/>
      <c r="G90" s="25"/>
      <c r="H90" s="25"/>
      <c r="I90" s="25"/>
      <c r="J90" s="25"/>
      <c r="K90" s="25"/>
      <c r="L90" s="25"/>
      <c r="N90" s="154"/>
      <c r="O90" s="153" t="s">
        <v>136</v>
      </c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</row>
    <row r="91" spans="1:32" ht="15.75" outlineLevel="1" x14ac:dyDescent="0.25">
      <c r="A91" s="4"/>
      <c r="B91" s="4"/>
      <c r="C91" s="42" t="s">
        <v>29</v>
      </c>
      <c r="D91" s="4"/>
      <c r="E91" s="25"/>
      <c r="F91" s="25"/>
      <c r="G91" s="25"/>
      <c r="H91" s="25"/>
      <c r="I91" s="25"/>
      <c r="J91" s="25"/>
      <c r="K91" s="25"/>
      <c r="L91" s="25"/>
      <c r="N91" s="154"/>
      <c r="O91" s="153" t="s">
        <v>137</v>
      </c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</row>
    <row r="92" spans="1:32" ht="15.75" outlineLevel="1" x14ac:dyDescent="0.25">
      <c r="A92" s="4"/>
      <c r="B92" s="4"/>
      <c r="C92" s="40" t="s">
        <v>61</v>
      </c>
      <c r="D92" s="24" t="s">
        <v>57</v>
      </c>
      <c r="E92" s="90">
        <v>24536</v>
      </c>
      <c r="F92" s="90">
        <v>25533</v>
      </c>
      <c r="G92" s="90">
        <v>26283</v>
      </c>
      <c r="H92" s="131">
        <f>+G92-H126-H140-H141</f>
        <v>26681.144669026024</v>
      </c>
      <c r="I92" s="131">
        <f t="shared" ref="I92:L92" si="65">+H92-I126-I140-I141</f>
        <v>27095.312734801289</v>
      </c>
      <c r="J92" s="131">
        <f t="shared" si="65"/>
        <v>27056.678490647442</v>
      </c>
      <c r="K92" s="131">
        <f t="shared" si="65"/>
        <v>27018.675219168988</v>
      </c>
      <c r="L92" s="131">
        <f t="shared" si="65"/>
        <v>26483.349684574699</v>
      </c>
      <c r="N92" s="154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</row>
    <row r="93" spans="1:32" ht="15.75" outlineLevel="1" x14ac:dyDescent="0.25">
      <c r="A93" s="4"/>
      <c r="B93" s="4"/>
      <c r="C93" s="97" t="s">
        <v>85</v>
      </c>
      <c r="D93" s="24" t="s">
        <v>57</v>
      </c>
      <c r="E93" s="90">
        <v>1884</v>
      </c>
      <c r="F93" s="90">
        <v>1965</v>
      </c>
      <c r="G93" s="90">
        <v>2236</v>
      </c>
      <c r="H93" s="116">
        <f>+H66*H29</f>
        <v>2356.7971520756946</v>
      </c>
      <c r="I93" s="116">
        <f t="shared" ref="I93:L93" si="66">+I66*I29</f>
        <v>2456.7085170583318</v>
      </c>
      <c r="J93" s="116">
        <f t="shared" si="66"/>
        <v>2548.3559411698698</v>
      </c>
      <c r="K93" s="116">
        <f t="shared" si="66"/>
        <v>2643.291173062747</v>
      </c>
      <c r="L93" s="116">
        <f t="shared" si="66"/>
        <v>2728.3201198885417</v>
      </c>
      <c r="N93" s="154"/>
      <c r="O93" s="5" t="s">
        <v>138</v>
      </c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</row>
    <row r="94" spans="1:32" ht="15.75" outlineLevel="1" x14ac:dyDescent="0.25">
      <c r="A94" s="4"/>
      <c r="B94" s="4"/>
      <c r="C94" s="41" t="s">
        <v>14</v>
      </c>
      <c r="D94" s="60" t="s">
        <v>57</v>
      </c>
      <c r="E94" s="91">
        <v>1343</v>
      </c>
      <c r="F94" s="91">
        <v>1273</v>
      </c>
      <c r="G94" s="91">
        <v>1358</v>
      </c>
      <c r="H94" s="92">
        <f>+G94-H142</f>
        <v>1408</v>
      </c>
      <c r="I94" s="92">
        <f t="shared" ref="I94:L94" si="67">+H94-I142</f>
        <v>1478</v>
      </c>
      <c r="J94" s="92">
        <f t="shared" si="67"/>
        <v>1568</v>
      </c>
      <c r="K94" s="92">
        <f t="shared" si="67"/>
        <v>1668</v>
      </c>
      <c r="L94" s="92">
        <f t="shared" si="67"/>
        <v>1768</v>
      </c>
      <c r="N94" s="154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3"/>
      <c r="AA94" s="153"/>
      <c r="AB94" s="153"/>
      <c r="AC94" s="153"/>
      <c r="AD94" s="153"/>
      <c r="AE94" s="153"/>
      <c r="AF94" s="153"/>
    </row>
    <row r="95" spans="1:32" ht="15.75" outlineLevel="1" x14ac:dyDescent="0.25">
      <c r="A95" s="4"/>
      <c r="B95" s="4"/>
      <c r="C95" s="32" t="s">
        <v>30</v>
      </c>
      <c r="D95" s="24" t="s">
        <v>57</v>
      </c>
      <c r="E95" s="88">
        <f>SUM(E92:E94)</f>
        <v>27763</v>
      </c>
      <c r="F95" s="88">
        <f>SUM(F92:F94)</f>
        <v>28771</v>
      </c>
      <c r="G95" s="88">
        <f>SUM(G92:G94)</f>
        <v>29877</v>
      </c>
      <c r="H95" s="132">
        <f>SUM(H92:H94)</f>
        <v>30445.941821101718</v>
      </c>
      <c r="I95" s="132">
        <f t="shared" ref="I95:L95" si="68">SUM(I92:I94)</f>
        <v>31030.02125185962</v>
      </c>
      <c r="J95" s="132">
        <f t="shared" si="68"/>
        <v>31173.034431817312</v>
      </c>
      <c r="K95" s="132">
        <f t="shared" si="68"/>
        <v>31329.966392231734</v>
      </c>
      <c r="L95" s="132">
        <f t="shared" si="68"/>
        <v>30979.669804463243</v>
      </c>
      <c r="N95" s="154"/>
      <c r="O95" s="5" t="s">
        <v>139</v>
      </c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</row>
    <row r="96" spans="1:32" ht="15.75" outlineLevel="1" x14ac:dyDescent="0.25">
      <c r="A96" s="4"/>
      <c r="B96" s="4"/>
      <c r="C96" s="32"/>
      <c r="D96" s="4"/>
      <c r="E96" s="25"/>
      <c r="F96" s="33"/>
      <c r="G96" s="33"/>
      <c r="H96" s="25"/>
      <c r="I96" s="25"/>
      <c r="J96" s="25"/>
      <c r="K96" s="25"/>
      <c r="L96" s="25"/>
      <c r="N96" s="154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</row>
    <row r="97" spans="1:32" ht="15.75" outlineLevel="1" x14ac:dyDescent="0.25">
      <c r="A97" s="4"/>
      <c r="B97" s="4"/>
      <c r="C97" s="32" t="s">
        <v>15</v>
      </c>
      <c r="D97" s="24" t="s">
        <v>57</v>
      </c>
      <c r="E97" s="100">
        <f>+E89+E95</f>
        <v>40303</v>
      </c>
      <c r="F97" s="100">
        <f>+F89+F95</f>
        <v>41290</v>
      </c>
      <c r="G97" s="100">
        <f>+G89+G95</f>
        <v>42779</v>
      </c>
      <c r="H97" s="100">
        <f t="shared" ref="H97:L97" si="69">+H89+H95</f>
        <v>43093.08611346846</v>
      </c>
      <c r="I97" s="100">
        <f t="shared" si="69"/>
        <v>44165.910678753244</v>
      </c>
      <c r="J97" s="100">
        <f t="shared" si="69"/>
        <v>44509.539557532866</v>
      </c>
      <c r="K97" s="100">
        <f t="shared" si="69"/>
        <v>45281.046234419824</v>
      </c>
      <c r="L97" s="100">
        <f t="shared" si="69"/>
        <v>46445.111262255938</v>
      </c>
      <c r="N97" s="154"/>
      <c r="O97" s="137" t="s">
        <v>140</v>
      </c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</row>
    <row r="98" spans="1:32" ht="15.75" outlineLevel="1" x14ac:dyDescent="0.25">
      <c r="A98" s="4"/>
      <c r="B98" s="4"/>
      <c r="C98" s="32"/>
      <c r="D98" s="4"/>
      <c r="E98" s="25"/>
      <c r="F98" s="33"/>
      <c r="G98" s="33"/>
      <c r="H98" s="25"/>
      <c r="I98" s="25"/>
      <c r="J98" s="25"/>
      <c r="K98" s="25"/>
      <c r="L98" s="25"/>
      <c r="N98" s="154"/>
      <c r="O98" s="153" t="s">
        <v>141</v>
      </c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</row>
    <row r="99" spans="1:32" ht="15.75" outlineLevel="1" x14ac:dyDescent="0.25">
      <c r="A99" s="4"/>
      <c r="B99" s="20" t="s">
        <v>31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N99" s="154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</row>
    <row r="100" spans="1:32" s="2" customFormat="1" ht="15.75" outlineLevel="1" x14ac:dyDescent="0.25">
      <c r="A100" s="6"/>
      <c r="B100" s="6"/>
      <c r="C100" s="43" t="s">
        <v>32</v>
      </c>
      <c r="D100" s="43"/>
      <c r="E100" s="43"/>
      <c r="F100" s="44"/>
      <c r="G100" s="44"/>
      <c r="H100" s="44"/>
      <c r="I100" s="44"/>
      <c r="J100" s="44"/>
      <c r="K100" s="44"/>
      <c r="L100" s="44"/>
      <c r="N100" s="154"/>
      <c r="O100" s="157" t="s">
        <v>161</v>
      </c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</row>
    <row r="101" spans="1:32" ht="15.75" outlineLevel="1" x14ac:dyDescent="0.25">
      <c r="A101" s="4"/>
      <c r="B101" s="4"/>
      <c r="C101" s="40" t="s">
        <v>16</v>
      </c>
      <c r="D101" s="24" t="s">
        <v>57</v>
      </c>
      <c r="E101" s="99">
        <v>8677</v>
      </c>
      <c r="F101" s="99">
        <v>9761</v>
      </c>
      <c r="G101" s="99">
        <v>9920</v>
      </c>
      <c r="H101" s="108">
        <f>+H61*H32</f>
        <v>10128.320080423582</v>
      </c>
      <c r="I101" s="108">
        <f t="shared" ref="I101:L101" si="70">+I61*I32</f>
        <v>10482.811283238407</v>
      </c>
      <c r="J101" s="108">
        <f t="shared" si="70"/>
        <v>10797.295621735559</v>
      </c>
      <c r="K101" s="108">
        <f t="shared" si="70"/>
        <v>11121.214490387625</v>
      </c>
      <c r="L101" s="108">
        <f t="shared" si="70"/>
        <v>11399.244852647316</v>
      </c>
      <c r="N101" s="154"/>
      <c r="O101" s="153"/>
      <c r="P101" s="154"/>
      <c r="Q101" s="154"/>
      <c r="R101" s="154"/>
      <c r="S101" s="154"/>
      <c r="T101" s="154"/>
      <c r="U101" s="154"/>
      <c r="V101" s="154"/>
      <c r="W101" s="154"/>
      <c r="X101" s="153"/>
      <c r="Y101" s="153"/>
      <c r="Z101" s="153"/>
      <c r="AA101" s="153"/>
      <c r="AB101" s="153"/>
      <c r="AC101" s="153"/>
      <c r="AD101" s="153"/>
      <c r="AE101" s="153"/>
      <c r="AF101" s="153"/>
    </row>
    <row r="102" spans="1:32" ht="15.75" outlineLevel="1" x14ac:dyDescent="0.25">
      <c r="A102" s="4"/>
      <c r="B102" s="4"/>
      <c r="C102" s="71" t="s">
        <v>69</v>
      </c>
      <c r="D102" s="60" t="s">
        <v>57</v>
      </c>
      <c r="E102" s="90">
        <v>4094</v>
      </c>
      <c r="F102" s="90">
        <v>4201</v>
      </c>
      <c r="G102" s="90">
        <v>4406</v>
      </c>
      <c r="H102" s="116">
        <f>+H66*H33</f>
        <v>4539.7531192431661</v>
      </c>
      <c r="I102" s="116">
        <f t="shared" ref="I102:L102" si="71">+I66*I33</f>
        <v>4698.644478416677</v>
      </c>
      <c r="J102" s="116">
        <f t="shared" si="71"/>
        <v>4839.6038127691772</v>
      </c>
      <c r="K102" s="116">
        <f t="shared" si="71"/>
        <v>4984.7919271522524</v>
      </c>
      <c r="L102" s="116">
        <f t="shared" si="71"/>
        <v>5109.4117253310587</v>
      </c>
      <c r="M102" s="1"/>
      <c r="N102" s="154"/>
      <c r="O102" s="43" t="s">
        <v>155</v>
      </c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3"/>
      <c r="AC102" s="153"/>
      <c r="AD102" s="153"/>
      <c r="AE102" s="153"/>
      <c r="AF102" s="153"/>
    </row>
    <row r="103" spans="1:32" ht="15.75" outlineLevel="1" x14ac:dyDescent="0.25">
      <c r="A103" s="4"/>
      <c r="B103" s="4"/>
      <c r="C103" s="50" t="s">
        <v>17</v>
      </c>
      <c r="D103" s="24" t="s">
        <v>57</v>
      </c>
      <c r="E103" s="89">
        <f>SUM(E101:E102)</f>
        <v>12771</v>
      </c>
      <c r="F103" s="89">
        <f>SUM(F101:F102)</f>
        <v>13962</v>
      </c>
      <c r="G103" s="89">
        <f>SUM(G101:G102)</f>
        <v>14326</v>
      </c>
      <c r="H103" s="89">
        <f t="shared" ref="H103:L103" si="72">SUM(H101:H102)</f>
        <v>14668.073199666749</v>
      </c>
      <c r="I103" s="89">
        <f t="shared" si="72"/>
        <v>15181.455761655085</v>
      </c>
      <c r="J103" s="89">
        <f t="shared" si="72"/>
        <v>15636.899434504736</v>
      </c>
      <c r="K103" s="89">
        <f t="shared" si="72"/>
        <v>16106.006417539877</v>
      </c>
      <c r="L103" s="89">
        <f t="shared" si="72"/>
        <v>16508.656577978374</v>
      </c>
      <c r="M103" s="1"/>
      <c r="N103" s="154"/>
      <c r="O103" s="154" t="s">
        <v>156</v>
      </c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3"/>
      <c r="AC103" s="153"/>
      <c r="AD103" s="153"/>
      <c r="AE103" s="153"/>
      <c r="AF103" s="153"/>
    </row>
    <row r="104" spans="1:32" ht="15.75" outlineLevel="1" x14ac:dyDescent="0.25">
      <c r="A104" s="4"/>
      <c r="B104" s="4"/>
      <c r="C104" s="6"/>
      <c r="D104" s="4"/>
      <c r="E104" s="25"/>
      <c r="F104" s="25"/>
      <c r="G104" s="25"/>
      <c r="H104" s="25"/>
      <c r="I104" s="25"/>
      <c r="J104" s="25"/>
      <c r="K104" s="25"/>
      <c r="L104" s="25"/>
      <c r="M104" s="1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3"/>
      <c r="AC104" s="153"/>
      <c r="AD104" s="153"/>
      <c r="AE104" s="153"/>
      <c r="AF104" s="153"/>
    </row>
    <row r="105" spans="1:32" ht="15.75" outlineLevel="1" x14ac:dyDescent="0.25">
      <c r="A105" s="4"/>
      <c r="B105" s="4"/>
      <c r="C105" s="42" t="s">
        <v>33</v>
      </c>
      <c r="D105" s="4"/>
      <c r="E105" s="59"/>
      <c r="F105" s="90"/>
      <c r="G105" s="90"/>
      <c r="H105" s="59"/>
      <c r="I105" s="59"/>
      <c r="J105" s="59"/>
      <c r="K105" s="59"/>
      <c r="L105" s="59"/>
      <c r="M105" s="1"/>
      <c r="N105" s="153"/>
      <c r="O105" s="5" t="s">
        <v>143</v>
      </c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4"/>
      <c r="AA105" s="154"/>
      <c r="AB105" s="153"/>
      <c r="AC105" s="153"/>
      <c r="AD105" s="153"/>
      <c r="AE105" s="153"/>
      <c r="AF105" s="153"/>
    </row>
    <row r="106" spans="1:32" ht="15.75" outlineLevel="1" x14ac:dyDescent="0.25">
      <c r="A106" s="4"/>
      <c r="B106" s="4"/>
      <c r="C106" s="71" t="s">
        <v>74</v>
      </c>
      <c r="D106" s="24" t="s">
        <v>57</v>
      </c>
      <c r="E106" s="90">
        <f>281+11117</f>
        <v>11398</v>
      </c>
      <c r="F106" s="90">
        <v>11275</v>
      </c>
      <c r="G106" s="90">
        <v>11499</v>
      </c>
      <c r="H106" s="87">
        <f>+G106+H146+H147</f>
        <v>10374</v>
      </c>
      <c r="I106" s="87">
        <f t="shared" ref="I106:L106" si="73">+H106+I146+I147</f>
        <v>9749</v>
      </c>
      <c r="J106" s="87">
        <f t="shared" si="73"/>
        <v>8374</v>
      </c>
      <c r="K106" s="87">
        <f t="shared" si="73"/>
        <v>7274</v>
      </c>
      <c r="L106" s="87">
        <f t="shared" si="73"/>
        <v>6524</v>
      </c>
      <c r="M106" s="1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3"/>
      <c r="Y106" s="153"/>
      <c r="Z106" s="154"/>
      <c r="AA106" s="154"/>
      <c r="AB106" s="153"/>
      <c r="AC106" s="153"/>
      <c r="AD106" s="153"/>
      <c r="AE106" s="153"/>
      <c r="AF106" s="153"/>
    </row>
    <row r="107" spans="1:32" ht="15.75" outlineLevel="1" x14ac:dyDescent="0.25">
      <c r="A107" s="4"/>
      <c r="B107" s="4"/>
      <c r="C107" s="97" t="s">
        <v>86</v>
      </c>
      <c r="D107" s="24" t="s">
        <v>57</v>
      </c>
      <c r="E107" s="90">
        <v>1924</v>
      </c>
      <c r="F107" s="90">
        <v>2004</v>
      </c>
      <c r="G107" s="90">
        <v>2275</v>
      </c>
      <c r="H107" s="116">
        <f>+G107+H30</f>
        <v>2395.7971520756946</v>
      </c>
      <c r="I107" s="116">
        <f t="shared" ref="I107:L107" si="74">+H107+I30</f>
        <v>2495.7085170583318</v>
      </c>
      <c r="J107" s="116">
        <f t="shared" si="74"/>
        <v>2587.3559411698698</v>
      </c>
      <c r="K107" s="116">
        <f t="shared" si="74"/>
        <v>2682.291173062747</v>
      </c>
      <c r="L107" s="116">
        <f t="shared" si="74"/>
        <v>2767.3201198885417</v>
      </c>
      <c r="M107" s="1"/>
      <c r="N107" s="154"/>
      <c r="O107" s="158">
        <f>+E137+E140</f>
        <v>4402</v>
      </c>
      <c r="P107" s="158">
        <f t="shared" ref="P107:V107" si="75">+F137+F140</f>
        <v>2457</v>
      </c>
      <c r="Q107" s="158">
        <f t="shared" si="75"/>
        <v>4090</v>
      </c>
      <c r="R107" s="158">
        <f t="shared" si="75"/>
        <v>2847.2466342642583</v>
      </c>
      <c r="S107" s="158">
        <f t="shared" si="75"/>
        <v>3591.4307498433068</v>
      </c>
      <c r="T107" s="158">
        <f t="shared" si="75"/>
        <v>4150.0357091871974</v>
      </c>
      <c r="U107" s="158">
        <f t="shared" si="75"/>
        <v>4334.8063424496158</v>
      </c>
      <c r="V107" s="158">
        <f t="shared" si="75"/>
        <v>4969.5744247565926</v>
      </c>
      <c r="W107" s="154"/>
      <c r="X107" s="154"/>
      <c r="Y107" s="154"/>
      <c r="Z107" s="154"/>
      <c r="AA107" s="154"/>
      <c r="AB107" s="153"/>
      <c r="AC107" s="153"/>
      <c r="AD107" s="153"/>
      <c r="AE107" s="153"/>
      <c r="AF107" s="153"/>
    </row>
    <row r="108" spans="1:32" ht="15.75" outlineLevel="1" x14ac:dyDescent="0.25">
      <c r="A108" s="4"/>
      <c r="B108" s="4"/>
      <c r="C108" s="97" t="s">
        <v>87</v>
      </c>
      <c r="D108" s="24" t="s">
        <v>57</v>
      </c>
      <c r="E108" s="90">
        <v>693</v>
      </c>
      <c r="F108" s="90">
        <v>972</v>
      </c>
      <c r="G108" s="90">
        <v>1122</v>
      </c>
      <c r="H108" s="116">
        <f>+G108+H128</f>
        <v>1251.9080133648808</v>
      </c>
      <c r="I108" s="116">
        <f t="shared" ref="I108:L108" si="76">+H108+I128</f>
        <v>1365.3575221157378</v>
      </c>
      <c r="J108" s="116">
        <f t="shared" si="76"/>
        <v>1459.4718129568901</v>
      </c>
      <c r="K108" s="116">
        <f t="shared" si="76"/>
        <v>1557.9447089691878</v>
      </c>
      <c r="L108" s="116">
        <f t="shared" si="76"/>
        <v>1660.0839494085917</v>
      </c>
      <c r="M108" s="1"/>
      <c r="N108" s="154"/>
      <c r="O108" s="45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3"/>
      <c r="AC108" s="153"/>
      <c r="AD108" s="153"/>
      <c r="AE108" s="153"/>
      <c r="AF108" s="153"/>
    </row>
    <row r="109" spans="1:32" ht="15.75" outlineLevel="1" x14ac:dyDescent="0.25">
      <c r="A109" s="4"/>
      <c r="B109" s="4"/>
      <c r="C109" s="41" t="s">
        <v>18</v>
      </c>
      <c r="D109" s="60" t="s">
        <v>57</v>
      </c>
      <c r="E109" s="91">
        <v>1866</v>
      </c>
      <c r="F109" s="91">
        <v>1780</v>
      </c>
      <c r="G109" s="91">
        <v>1724</v>
      </c>
      <c r="H109" s="92">
        <f>+G109+H129</f>
        <v>1928.8091671965424</v>
      </c>
      <c r="I109" s="92">
        <f t="shared" ref="I109:L109" si="77">+H109+I129</f>
        <v>2140.7866552449636</v>
      </c>
      <c r="J109" s="92">
        <f t="shared" si="77"/>
        <v>2359.1234679348377</v>
      </c>
      <c r="K109" s="92">
        <f t="shared" si="77"/>
        <v>2584.0103850054079</v>
      </c>
      <c r="L109" s="92">
        <f t="shared" si="77"/>
        <v>2814.5194750027422</v>
      </c>
      <c r="M109" s="1"/>
      <c r="N109" s="20" t="s">
        <v>142</v>
      </c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4"/>
      <c r="AA109" s="154"/>
      <c r="AB109" s="153"/>
      <c r="AC109" s="153"/>
      <c r="AD109" s="153"/>
      <c r="AE109" s="153"/>
      <c r="AF109" s="153"/>
    </row>
    <row r="110" spans="1:32" ht="15.75" outlineLevel="1" x14ac:dyDescent="0.25">
      <c r="A110" s="4"/>
      <c r="B110" s="4"/>
      <c r="C110" s="42" t="s">
        <v>66</v>
      </c>
      <c r="D110" s="24" t="s">
        <v>57</v>
      </c>
      <c r="E110" s="88">
        <f>SUM(E106:E109)</f>
        <v>15881</v>
      </c>
      <c r="F110" s="88">
        <f>SUM(F106:F109)</f>
        <v>16031</v>
      </c>
      <c r="G110" s="88">
        <f>SUM(G106:G109)</f>
        <v>16620</v>
      </c>
      <c r="H110" s="88">
        <f t="shared" ref="H110:L110" si="78">SUM(H106:H109)</f>
        <v>15950.514332637118</v>
      </c>
      <c r="I110" s="88">
        <f t="shared" si="78"/>
        <v>15750.852694419033</v>
      </c>
      <c r="J110" s="88">
        <f t="shared" si="78"/>
        <v>14779.951222061598</v>
      </c>
      <c r="K110" s="88">
        <f t="shared" si="78"/>
        <v>14098.246267037342</v>
      </c>
      <c r="L110" s="88">
        <f t="shared" si="78"/>
        <v>13765.923544299876</v>
      </c>
      <c r="M110" s="1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3"/>
      <c r="AC110" s="153"/>
      <c r="AD110" s="153"/>
      <c r="AE110" s="153"/>
      <c r="AF110" s="153"/>
    </row>
    <row r="111" spans="1:32" ht="15.75" outlineLevel="1" x14ac:dyDescent="0.25">
      <c r="A111" s="4"/>
      <c r="B111" s="4"/>
      <c r="C111" s="42"/>
      <c r="D111" s="4"/>
      <c r="E111" s="25"/>
      <c r="F111" s="33"/>
      <c r="G111" s="33"/>
      <c r="H111" s="25"/>
      <c r="I111" s="25"/>
      <c r="J111" s="25"/>
      <c r="K111" s="25"/>
      <c r="L111" s="25"/>
      <c r="M111" s="1"/>
      <c r="N111" s="154"/>
      <c r="O111" s="154" t="s">
        <v>144</v>
      </c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3"/>
      <c r="AC111" s="153"/>
      <c r="AD111" s="153"/>
      <c r="AE111" s="153"/>
      <c r="AF111" s="153"/>
    </row>
    <row r="112" spans="1:32" ht="15.75" outlineLevel="1" x14ac:dyDescent="0.25">
      <c r="A112" s="4"/>
      <c r="B112" s="4"/>
      <c r="C112" s="42" t="s">
        <v>19</v>
      </c>
      <c r="D112" s="24" t="s">
        <v>57</v>
      </c>
      <c r="E112" s="100">
        <f>+E103+E110</f>
        <v>28652</v>
      </c>
      <c r="F112" s="100">
        <f>+F103+F110</f>
        <v>29993</v>
      </c>
      <c r="G112" s="100">
        <f>+G103+G110</f>
        <v>30946</v>
      </c>
      <c r="H112" s="100">
        <f>+H103+H110</f>
        <v>30618.587532303867</v>
      </c>
      <c r="I112" s="100">
        <f t="shared" ref="I112:L112" si="79">+I103+I110</f>
        <v>30932.308456074119</v>
      </c>
      <c r="J112" s="100">
        <f t="shared" si="79"/>
        <v>30416.850656566334</v>
      </c>
      <c r="K112" s="100">
        <f t="shared" si="79"/>
        <v>30204.252684577219</v>
      </c>
      <c r="L112" s="100">
        <f t="shared" si="79"/>
        <v>30274.58012227825</v>
      </c>
      <c r="M112" s="1"/>
      <c r="N112" s="154"/>
      <c r="O112" s="154" t="s">
        <v>145</v>
      </c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3"/>
      <c r="AC112" s="153"/>
      <c r="AD112" s="153"/>
      <c r="AE112" s="153"/>
      <c r="AF112" s="153"/>
    </row>
    <row r="113" spans="1:32" ht="15.75" outlineLevel="1" x14ac:dyDescent="0.25">
      <c r="A113" s="4"/>
      <c r="B113" s="4"/>
      <c r="C113" s="6"/>
      <c r="D113" s="4"/>
      <c r="E113" s="25"/>
      <c r="F113" s="25"/>
      <c r="G113" s="25"/>
      <c r="H113" s="25"/>
      <c r="I113" s="25"/>
      <c r="J113" s="25"/>
      <c r="K113" s="25"/>
      <c r="L113" s="25"/>
      <c r="M113" s="1"/>
      <c r="N113" s="154"/>
      <c r="O113" s="155"/>
      <c r="P113" s="155"/>
      <c r="Q113" s="155"/>
      <c r="R113" s="155"/>
      <c r="S113" s="155"/>
      <c r="T113" s="155"/>
      <c r="U113" s="155"/>
      <c r="V113" s="155"/>
      <c r="W113" s="154"/>
      <c r="X113" s="154"/>
      <c r="Y113" s="154"/>
      <c r="Z113" s="154"/>
      <c r="AA113" s="154"/>
      <c r="AB113" s="153"/>
      <c r="AC113" s="153"/>
      <c r="AD113" s="153"/>
      <c r="AE113" s="153"/>
      <c r="AF113" s="153"/>
    </row>
    <row r="114" spans="1:32" ht="15.75" outlineLevel="1" x14ac:dyDescent="0.25">
      <c r="A114" s="4"/>
      <c r="B114" s="4"/>
      <c r="C114" s="42" t="s">
        <v>88</v>
      </c>
      <c r="D114" s="24" t="s">
        <v>57</v>
      </c>
      <c r="E114" s="101">
        <v>11651</v>
      </c>
      <c r="F114" s="101">
        <v>11297</v>
      </c>
      <c r="G114" s="101">
        <v>11833</v>
      </c>
      <c r="H114" s="133">
        <f>+G114+H124+H127+H148+H149+H150</f>
        <v>12474.498581164597</v>
      </c>
      <c r="I114" s="133">
        <f t="shared" ref="I114:L114" si="80">+H114+I124+I127+I148+I149+I150</f>
        <v>13233.602222679132</v>
      </c>
      <c r="J114" s="133">
        <f t="shared" si="80"/>
        <v>14092.688900966537</v>
      </c>
      <c r="K114" s="133">
        <f t="shared" si="80"/>
        <v>15076.793549842609</v>
      </c>
      <c r="L114" s="133">
        <f t="shared" si="80"/>
        <v>16170.531139977687</v>
      </c>
      <c r="M114" s="1"/>
      <c r="N114" s="154"/>
      <c r="O114" s="154" t="s">
        <v>146</v>
      </c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3"/>
      <c r="AC114" s="153"/>
      <c r="AD114" s="153"/>
      <c r="AE114" s="153"/>
      <c r="AF114" s="153"/>
    </row>
    <row r="115" spans="1:32" ht="15.75" outlineLevel="1" x14ac:dyDescent="0.25">
      <c r="A115" s="4"/>
      <c r="B115" s="4"/>
      <c r="C115" s="32"/>
      <c r="D115" s="4"/>
      <c r="E115" s="25"/>
      <c r="F115" s="33"/>
      <c r="G115" s="33"/>
      <c r="H115" s="25"/>
      <c r="I115" s="25"/>
      <c r="J115" s="25"/>
      <c r="K115" s="25"/>
      <c r="L115" s="25"/>
      <c r="N115" s="154"/>
      <c r="O115" s="45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3"/>
      <c r="AC115" s="153"/>
      <c r="AD115" s="153"/>
      <c r="AE115" s="153"/>
      <c r="AF115" s="153"/>
    </row>
    <row r="116" spans="1:32" ht="15.75" outlineLevel="1" x14ac:dyDescent="0.25">
      <c r="A116" s="4"/>
      <c r="B116" s="4"/>
      <c r="C116" s="32" t="s">
        <v>51</v>
      </c>
      <c r="D116" s="24" t="s">
        <v>57</v>
      </c>
      <c r="E116" s="100">
        <f>+E112+E114</f>
        <v>40303</v>
      </c>
      <c r="F116" s="100">
        <f>+F112+F114</f>
        <v>41290</v>
      </c>
      <c r="G116" s="100">
        <f>+G112+G114</f>
        <v>42779</v>
      </c>
      <c r="H116" s="100">
        <f>+H112+H114</f>
        <v>43093.086113468467</v>
      </c>
      <c r="I116" s="100">
        <f t="shared" ref="I116:L116" si="81">+I112+I114</f>
        <v>44165.910678753251</v>
      </c>
      <c r="J116" s="100">
        <f t="shared" si="81"/>
        <v>44509.539557532873</v>
      </c>
      <c r="K116" s="100">
        <f t="shared" si="81"/>
        <v>45281.046234419831</v>
      </c>
      <c r="L116" s="100">
        <f t="shared" si="81"/>
        <v>46445.111262255938</v>
      </c>
      <c r="N116" s="154"/>
      <c r="O116" s="154" t="s">
        <v>147</v>
      </c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3"/>
      <c r="AC116" s="153"/>
      <c r="AD116" s="153"/>
      <c r="AE116" s="153"/>
      <c r="AF116" s="153"/>
    </row>
    <row r="117" spans="1:32" ht="15.75" outlineLevel="1" x14ac:dyDescent="0.25">
      <c r="A117" s="4"/>
      <c r="B117" s="4"/>
      <c r="C117" s="27"/>
      <c r="D117" s="4"/>
      <c r="E117" s="25"/>
      <c r="F117" s="25"/>
      <c r="G117" s="33"/>
      <c r="H117" s="33"/>
      <c r="I117" s="33"/>
      <c r="J117" s="33"/>
      <c r="K117" s="33"/>
      <c r="L117" s="33"/>
      <c r="N117" s="154"/>
      <c r="O117" s="154" t="s">
        <v>148</v>
      </c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3"/>
      <c r="AC117" s="153"/>
      <c r="AD117" s="153"/>
      <c r="AE117" s="153"/>
      <c r="AF117" s="153"/>
    </row>
    <row r="118" spans="1:32" ht="15.75" outlineLevel="1" x14ac:dyDescent="0.25">
      <c r="A118" s="4"/>
      <c r="B118" s="4"/>
      <c r="C118" s="45" t="s">
        <v>34</v>
      </c>
      <c r="D118" s="4"/>
      <c r="E118" s="46">
        <f>E97-E116</f>
        <v>0</v>
      </c>
      <c r="F118" s="46">
        <f>F97-F116</f>
        <v>0</v>
      </c>
      <c r="G118" s="46">
        <f>G97-G116</f>
        <v>0</v>
      </c>
      <c r="H118" s="46">
        <f>H97-H116</f>
        <v>0</v>
      </c>
      <c r="I118" s="46">
        <f t="shared" ref="I118:L118" si="82">I97-I116</f>
        <v>0</v>
      </c>
      <c r="J118" s="46">
        <f t="shared" si="82"/>
        <v>0</v>
      </c>
      <c r="K118" s="46">
        <f t="shared" si="82"/>
        <v>0</v>
      </c>
      <c r="L118" s="46">
        <f t="shared" si="82"/>
        <v>0</v>
      </c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3"/>
      <c r="AC118" s="153"/>
      <c r="AD118" s="153"/>
      <c r="AE118" s="153"/>
      <c r="AF118" s="153"/>
    </row>
    <row r="119" spans="1:32" ht="15.7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N119" s="154"/>
      <c r="O119" s="154" t="s">
        <v>149</v>
      </c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3"/>
      <c r="AC119" s="153"/>
      <c r="AD119" s="153"/>
      <c r="AE119" s="153"/>
      <c r="AF119" s="153"/>
    </row>
    <row r="120" spans="1:32" ht="15.75" x14ac:dyDescent="0.25">
      <c r="A120" s="4"/>
      <c r="B120" s="14"/>
      <c r="C120" s="14"/>
      <c r="D120" s="14"/>
      <c r="E120" s="15" t="str">
        <f>$E$11</f>
        <v>Historical</v>
      </c>
      <c r="F120" s="15"/>
      <c r="G120" s="15"/>
      <c r="H120" s="16" t="str">
        <f>$H$11</f>
        <v>Projected</v>
      </c>
      <c r="I120" s="15"/>
      <c r="J120" s="15"/>
      <c r="K120" s="15"/>
      <c r="L120" s="15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3"/>
      <c r="AC120" s="153"/>
      <c r="AD120" s="153"/>
      <c r="AE120" s="153"/>
      <c r="AF120" s="153"/>
    </row>
    <row r="121" spans="1:32" ht="15.75" x14ac:dyDescent="0.25">
      <c r="A121" s="4"/>
      <c r="B121" s="55" t="s">
        <v>20</v>
      </c>
      <c r="C121" s="55"/>
      <c r="D121" s="56" t="str">
        <f>$D$12</f>
        <v>Units:</v>
      </c>
      <c r="E121" s="57">
        <f>$E$12</f>
        <v>43131</v>
      </c>
      <c r="F121" s="57">
        <f>$F$12</f>
        <v>43496</v>
      </c>
      <c r="G121" s="57">
        <f>$G$12</f>
        <v>43861</v>
      </c>
      <c r="H121" s="58">
        <f>$H$12</f>
        <v>44227</v>
      </c>
      <c r="I121" s="57">
        <f>$I$12</f>
        <v>44592</v>
      </c>
      <c r="J121" s="57">
        <f>$J$12</f>
        <v>44957</v>
      </c>
      <c r="K121" s="57">
        <f>$K$12</f>
        <v>45322</v>
      </c>
      <c r="L121" s="57">
        <f>$L$12</f>
        <v>45688</v>
      </c>
      <c r="N121" s="154"/>
      <c r="O121" s="5" t="s">
        <v>151</v>
      </c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</row>
    <row r="122" spans="1:32" ht="15.75" outlineLevel="1" x14ac:dyDescent="0.25">
      <c r="A122" s="4"/>
      <c r="B122" s="20" t="s">
        <v>35</v>
      </c>
      <c r="C122" s="62"/>
      <c r="D122" s="20"/>
      <c r="E122" s="20" t="s">
        <v>36</v>
      </c>
      <c r="F122" s="20" t="s">
        <v>36</v>
      </c>
      <c r="G122" s="20" t="s">
        <v>36</v>
      </c>
      <c r="H122" s="20" t="s">
        <v>36</v>
      </c>
      <c r="I122" s="20" t="s">
        <v>36</v>
      </c>
      <c r="J122" s="20" t="s">
        <v>36</v>
      </c>
      <c r="K122" s="20" t="s">
        <v>36</v>
      </c>
      <c r="L122" s="20" t="s">
        <v>36</v>
      </c>
      <c r="N122" s="154"/>
      <c r="O122" s="153" t="s">
        <v>152</v>
      </c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</row>
    <row r="123" spans="1:32" ht="15.75" outlineLevel="1" x14ac:dyDescent="0.25">
      <c r="A123" s="4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N123" s="154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</row>
    <row r="124" spans="1:32" ht="14.45" customHeight="1" outlineLevel="1" x14ac:dyDescent="0.25">
      <c r="A124" s="4"/>
      <c r="B124" s="4"/>
      <c r="C124" s="63" t="s">
        <v>9</v>
      </c>
      <c r="D124" s="24" t="s">
        <v>57</v>
      </c>
      <c r="E124" s="100">
        <f>+E80</f>
        <v>2908</v>
      </c>
      <c r="F124" s="100">
        <f>+F80</f>
        <v>2930</v>
      </c>
      <c r="G124" s="100">
        <f>+G80</f>
        <v>3269</v>
      </c>
      <c r="H124" s="100">
        <f>+H80</f>
        <v>3313.4377320375752</v>
      </c>
      <c r="I124" s="100">
        <f t="shared" ref="I124:L124" si="83">+I80</f>
        <v>3472.375936536384</v>
      </c>
      <c r="J124" s="100">
        <f t="shared" si="83"/>
        <v>3600.7229383280082</v>
      </c>
      <c r="K124" s="100">
        <f t="shared" si="83"/>
        <v>3767.4790120187454</v>
      </c>
      <c r="L124" s="100">
        <f t="shared" si="83"/>
        <v>3907.7498503845572</v>
      </c>
      <c r="N124" s="154"/>
      <c r="O124" s="5" t="s">
        <v>153</v>
      </c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</row>
    <row r="125" spans="1:32" ht="15.75" outlineLevel="1" x14ac:dyDescent="0.25">
      <c r="A125" s="4"/>
      <c r="B125" s="4"/>
      <c r="C125" s="5" t="s">
        <v>37</v>
      </c>
      <c r="D125" s="4"/>
      <c r="E125" s="108"/>
      <c r="F125" s="108"/>
      <c r="G125" s="108"/>
      <c r="H125" s="108"/>
      <c r="I125" s="108"/>
      <c r="J125" s="108"/>
      <c r="K125" s="108"/>
      <c r="L125" s="108"/>
      <c r="N125" s="154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</row>
    <row r="126" spans="1:32" ht="15.75" outlineLevel="1" x14ac:dyDescent="0.25">
      <c r="A126" s="4"/>
      <c r="B126" s="4"/>
      <c r="C126" s="97" t="s">
        <v>83</v>
      </c>
      <c r="D126" s="24" t="s">
        <v>57</v>
      </c>
      <c r="E126" s="102">
        <f>+E67</f>
        <v>2476</v>
      </c>
      <c r="F126" s="102">
        <f>+F67</f>
        <v>2474</v>
      </c>
      <c r="G126" s="102">
        <f>+G67</f>
        <v>2604</v>
      </c>
      <c r="H126" s="102">
        <f>+H67</f>
        <v>2700.7601264489513</v>
      </c>
      <c r="I126" s="102">
        <f t="shared" ref="I126:L126" si="84">+I67</f>
        <v>2795.2867308746645</v>
      </c>
      <c r="J126" s="102">
        <f t="shared" si="84"/>
        <v>2879.1453328009043</v>
      </c>
      <c r="K126" s="102">
        <f t="shared" si="84"/>
        <v>2965.5196927849315</v>
      </c>
      <c r="L126" s="102">
        <f t="shared" si="84"/>
        <v>3039.6576851045547</v>
      </c>
      <c r="N126" s="154"/>
      <c r="O126" s="5" t="s">
        <v>154</v>
      </c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</row>
    <row r="127" spans="1:32" ht="15.75" outlineLevel="1" x14ac:dyDescent="0.25">
      <c r="A127" s="4"/>
      <c r="B127" s="4"/>
      <c r="C127" s="47" t="s">
        <v>38</v>
      </c>
      <c r="D127" s="24" t="s">
        <v>57</v>
      </c>
      <c r="E127" s="90">
        <v>112</v>
      </c>
      <c r="F127" s="90">
        <v>132</v>
      </c>
      <c r="G127" s="90">
        <v>147</v>
      </c>
      <c r="H127" s="87">
        <f>+H66*H39</f>
        <v>139.43594194205104</v>
      </c>
      <c r="I127" s="87">
        <f t="shared" ref="I127:L127" si="85">+I66*I39</f>
        <v>144.31619991002282</v>
      </c>
      <c r="J127" s="87">
        <f t="shared" si="85"/>
        <v>148.64568590732353</v>
      </c>
      <c r="K127" s="87">
        <f t="shared" si="85"/>
        <v>153.10505648454321</v>
      </c>
      <c r="L127" s="87">
        <f t="shared" si="85"/>
        <v>156.93268289665681</v>
      </c>
      <c r="N127" s="154"/>
      <c r="O127" s="153" t="s">
        <v>150</v>
      </c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</row>
    <row r="128" spans="1:32" ht="15.75" outlineLevel="1" x14ac:dyDescent="0.25">
      <c r="A128" s="4"/>
      <c r="B128" s="4"/>
      <c r="C128" s="47" t="s">
        <v>63</v>
      </c>
      <c r="D128" s="24" t="s">
        <v>57</v>
      </c>
      <c r="E128" s="90">
        <v>-188</v>
      </c>
      <c r="F128" s="90">
        <v>322</v>
      </c>
      <c r="G128" s="90">
        <v>178</v>
      </c>
      <c r="H128" s="87">
        <f>-H79*H38</f>
        <v>129.90801336488087</v>
      </c>
      <c r="I128" s="87">
        <f t="shared" ref="I128:L128" si="86">-I79*I38</f>
        <v>113.44950875085682</v>
      </c>
      <c r="J128" s="87">
        <f t="shared" si="86"/>
        <v>94.114290841152183</v>
      </c>
      <c r="K128" s="87">
        <f t="shared" si="86"/>
        <v>98.472896012297682</v>
      </c>
      <c r="L128" s="87">
        <f t="shared" si="86"/>
        <v>102.13924043940386</v>
      </c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3"/>
      <c r="AC128" s="153"/>
      <c r="AD128" s="153"/>
      <c r="AE128" s="153"/>
      <c r="AF128" s="153"/>
    </row>
    <row r="129" spans="1:32" ht="15.75" outlineLevel="1" x14ac:dyDescent="0.25">
      <c r="A129" s="4"/>
      <c r="B129" s="4"/>
      <c r="C129" s="72" t="s">
        <v>70</v>
      </c>
      <c r="D129" s="24" t="s">
        <v>57</v>
      </c>
      <c r="E129" s="90">
        <v>405</v>
      </c>
      <c r="F129" s="90">
        <v>98</v>
      </c>
      <c r="G129" s="90">
        <v>57</v>
      </c>
      <c r="H129" s="87">
        <f>+H58*H37</f>
        <v>204.80916719654235</v>
      </c>
      <c r="I129" s="87">
        <f t="shared" ref="I129:L129" si="87">+I58*I37</f>
        <v>211.97748804842132</v>
      </c>
      <c r="J129" s="87">
        <f t="shared" si="87"/>
        <v>218.33681268987397</v>
      </c>
      <c r="K129" s="87">
        <f t="shared" si="87"/>
        <v>224.88691707057021</v>
      </c>
      <c r="L129" s="87">
        <f t="shared" si="87"/>
        <v>230.50908999733443</v>
      </c>
      <c r="N129" s="154"/>
      <c r="O129" s="43" t="s">
        <v>157</v>
      </c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3"/>
      <c r="AC129" s="153"/>
      <c r="AD129" s="153"/>
      <c r="AE129" s="153"/>
      <c r="AF129" s="153"/>
    </row>
    <row r="130" spans="1:32" ht="15.75" outlineLevel="1" x14ac:dyDescent="0.25">
      <c r="A130" s="4"/>
      <c r="B130" s="4"/>
      <c r="C130" s="95" t="s">
        <v>100</v>
      </c>
      <c r="D130" s="24" t="s">
        <v>57</v>
      </c>
      <c r="E130" s="90"/>
      <c r="F130" s="90"/>
      <c r="G130" s="90"/>
      <c r="H130" s="118">
        <f>+G93-H93</f>
        <v>-120.79715207569461</v>
      </c>
      <c r="I130" s="118">
        <f t="shared" ref="I130:L130" si="88">+H93-I93</f>
        <v>-99.911364982637224</v>
      </c>
      <c r="J130" s="118">
        <f t="shared" si="88"/>
        <v>-91.64742411153793</v>
      </c>
      <c r="K130" s="118">
        <f t="shared" si="88"/>
        <v>-94.935231892877255</v>
      </c>
      <c r="L130" s="118">
        <f t="shared" si="88"/>
        <v>-85.028946825794719</v>
      </c>
      <c r="N130" s="154"/>
      <c r="O130" s="154" t="s">
        <v>158</v>
      </c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3"/>
      <c r="AC130" s="153"/>
      <c r="AD130" s="153"/>
      <c r="AE130" s="153"/>
      <c r="AF130" s="153"/>
    </row>
    <row r="131" spans="1:32" ht="15.75" outlineLevel="1" x14ac:dyDescent="0.25">
      <c r="A131" s="4"/>
      <c r="B131" s="4"/>
      <c r="C131" s="95" t="s">
        <v>101</v>
      </c>
      <c r="D131" s="24" t="s">
        <v>57</v>
      </c>
      <c r="E131" s="90"/>
      <c r="F131" s="90"/>
      <c r="G131" s="90"/>
      <c r="H131" s="118">
        <f>+H107-G107</f>
        <v>120.79715207569461</v>
      </c>
      <c r="I131" s="118">
        <f t="shared" ref="I131:L131" si="89">+I107-H107</f>
        <v>99.911364982637224</v>
      </c>
      <c r="J131" s="118">
        <f t="shared" si="89"/>
        <v>91.64742411153793</v>
      </c>
      <c r="K131" s="118">
        <f t="shared" si="89"/>
        <v>94.935231892877255</v>
      </c>
      <c r="L131" s="118">
        <f t="shared" si="89"/>
        <v>85.028946825794719</v>
      </c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3"/>
      <c r="AC131" s="153"/>
      <c r="AD131" s="153"/>
      <c r="AE131" s="153"/>
      <c r="AF131" s="153"/>
    </row>
    <row r="132" spans="1:32" ht="15.75" outlineLevel="1" x14ac:dyDescent="0.25">
      <c r="A132" s="4"/>
      <c r="B132" s="4"/>
      <c r="C132" s="48" t="s">
        <v>39</v>
      </c>
      <c r="D132" s="4"/>
      <c r="E132" s="90"/>
      <c r="F132" s="90"/>
      <c r="G132" s="90"/>
      <c r="H132" s="25"/>
      <c r="I132" s="25"/>
      <c r="J132" s="25"/>
      <c r="K132" s="25"/>
      <c r="L132" s="25"/>
      <c r="N132" s="154"/>
      <c r="O132" s="154" t="s">
        <v>159</v>
      </c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3"/>
      <c r="AC132" s="153"/>
      <c r="AD132" s="153"/>
      <c r="AE132" s="153"/>
      <c r="AF132" s="153"/>
    </row>
    <row r="133" spans="1:32" ht="15.75" outlineLevel="1" x14ac:dyDescent="0.25">
      <c r="A133" s="4"/>
      <c r="B133" s="4"/>
      <c r="C133" s="97" t="s">
        <v>12</v>
      </c>
      <c r="D133" s="24" t="s">
        <v>57</v>
      </c>
      <c r="E133" s="90">
        <v>-348</v>
      </c>
      <c r="F133" s="90">
        <v>-900</v>
      </c>
      <c r="G133" s="90">
        <v>505</v>
      </c>
      <c r="H133" s="116">
        <f>+G87-H87</f>
        <v>-691.65865683826996</v>
      </c>
      <c r="I133" s="116">
        <f t="shared" ref="I133:L133" si="90">+H87-I87</f>
        <v>-338.92805298933854</v>
      </c>
      <c r="J133" s="116">
        <f t="shared" si="90"/>
        <v>-300.67760129482849</v>
      </c>
      <c r="K133" s="116">
        <f t="shared" si="90"/>
        <v>-309.69792933367353</v>
      </c>
      <c r="L133" s="116">
        <f t="shared" si="90"/>
        <v>-265.82405601140272</v>
      </c>
      <c r="N133" s="154"/>
      <c r="O133" s="154" t="s">
        <v>160</v>
      </c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3"/>
      <c r="AC133" s="153"/>
      <c r="AD133" s="153"/>
      <c r="AE133" s="153"/>
      <c r="AF133" s="153"/>
    </row>
    <row r="134" spans="1:32" ht="15.75" outlineLevel="1" x14ac:dyDescent="0.25">
      <c r="A134" s="4"/>
      <c r="B134" s="4"/>
      <c r="C134" s="97" t="s">
        <v>84</v>
      </c>
      <c r="D134" s="24" t="s">
        <v>57</v>
      </c>
      <c r="E134" s="90">
        <v>-156</v>
      </c>
      <c r="F134" s="90">
        <v>-299</v>
      </c>
      <c r="G134" s="90">
        <v>18</v>
      </c>
      <c r="H134" s="116">
        <f>+G88-H88</f>
        <v>-132.94742741257892</v>
      </c>
      <c r="I134" s="116">
        <f t="shared" ref="I134:L134" si="91">+H88-I88</f>
        <v>-51.308159959440218</v>
      </c>
      <c r="J134" s="116">
        <f t="shared" si="91"/>
        <v>-45.517667621160626</v>
      </c>
      <c r="K134" s="116">
        <f t="shared" si="91"/>
        <v>-46.88319764979542</v>
      </c>
      <c r="L134" s="116">
        <f t="shared" si="91"/>
        <v>-40.241411316074391</v>
      </c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3"/>
      <c r="AC134" s="153"/>
      <c r="AD134" s="153"/>
      <c r="AE134" s="153"/>
      <c r="AF134" s="153"/>
    </row>
    <row r="135" spans="1:32" ht="15.75" outlineLevel="1" x14ac:dyDescent="0.25">
      <c r="A135" s="4"/>
      <c r="B135" s="4"/>
      <c r="C135" s="109" t="s">
        <v>16</v>
      </c>
      <c r="D135" s="24" t="s">
        <v>57</v>
      </c>
      <c r="E135" s="90">
        <v>1307</v>
      </c>
      <c r="F135" s="90">
        <v>1127</v>
      </c>
      <c r="G135" s="90">
        <v>140</v>
      </c>
      <c r="H135" s="116">
        <f>+H101-G101</f>
        <v>208.32008042358211</v>
      </c>
      <c r="I135" s="116">
        <f t="shared" ref="I135:L135" si="92">+I101-H101</f>
        <v>354.49120281482465</v>
      </c>
      <c r="J135" s="116">
        <f t="shared" si="92"/>
        <v>314.48433849715184</v>
      </c>
      <c r="K135" s="116">
        <f t="shared" si="92"/>
        <v>323.91886865206652</v>
      </c>
      <c r="L135" s="116">
        <f t="shared" si="92"/>
        <v>278.03036225969117</v>
      </c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3"/>
      <c r="AC135" s="153"/>
      <c r="AD135" s="153"/>
      <c r="AE135" s="153"/>
      <c r="AF135" s="153"/>
    </row>
    <row r="136" spans="1:32" ht="15.75" outlineLevel="1" x14ac:dyDescent="0.25">
      <c r="A136" s="4"/>
      <c r="B136" s="4"/>
      <c r="C136" s="97" t="s">
        <v>69</v>
      </c>
      <c r="D136" s="24" t="s">
        <v>57</v>
      </c>
      <c r="E136" s="90">
        <v>419</v>
      </c>
      <c r="F136" s="90">
        <v>89</v>
      </c>
      <c r="G136" s="90">
        <v>199</v>
      </c>
      <c r="H136" s="116">
        <f>+H102-G102</f>
        <v>133.75311924316611</v>
      </c>
      <c r="I136" s="116">
        <f t="shared" ref="I136:L136" si="93">+I102-H102</f>
        <v>158.89135917351086</v>
      </c>
      <c r="J136" s="116">
        <f t="shared" si="93"/>
        <v>140.95933435250026</v>
      </c>
      <c r="K136" s="116">
        <f t="shared" si="93"/>
        <v>145.18811438307512</v>
      </c>
      <c r="L136" s="116">
        <f t="shared" si="93"/>
        <v>124.61979817880638</v>
      </c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3"/>
      <c r="AC136" s="153"/>
      <c r="AD136" s="153"/>
      <c r="AE136" s="153"/>
      <c r="AF136" s="153"/>
    </row>
    <row r="137" spans="1:32" ht="15.75" outlineLevel="1" x14ac:dyDescent="0.25">
      <c r="A137" s="4"/>
      <c r="B137" s="4"/>
      <c r="C137" s="51" t="s">
        <v>40</v>
      </c>
      <c r="D137" s="73" t="s">
        <v>57</v>
      </c>
      <c r="E137" s="89">
        <f>SUM(E124:E136)</f>
        <v>6935</v>
      </c>
      <c r="F137" s="89">
        <f>SUM(F124:F136)</f>
        <v>5973</v>
      </c>
      <c r="G137" s="89">
        <f>SUM(G124:G136)</f>
        <v>7117</v>
      </c>
      <c r="H137" s="89">
        <f>SUM(H124:H136)</f>
        <v>6005.8180964059002</v>
      </c>
      <c r="I137" s="89">
        <f t="shared" ref="I137:L137" si="94">SUM(I124:I136)</f>
        <v>6860.5522131599064</v>
      </c>
      <c r="J137" s="89">
        <f t="shared" si="94"/>
        <v>7050.2134645009246</v>
      </c>
      <c r="K137" s="89">
        <f t="shared" si="94"/>
        <v>7321.989430422761</v>
      </c>
      <c r="L137" s="89">
        <f t="shared" si="94"/>
        <v>7533.5732419335272</v>
      </c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3"/>
      <c r="AC137" s="153"/>
      <c r="AD137" s="153"/>
      <c r="AE137" s="153"/>
      <c r="AF137" s="153"/>
    </row>
    <row r="138" spans="1:32" ht="15.75" outlineLevel="1" x14ac:dyDescent="0.25">
      <c r="A138" s="4"/>
      <c r="B138" s="4"/>
      <c r="C138" s="48"/>
      <c r="D138" s="4"/>
      <c r="E138" s="25"/>
      <c r="F138" s="151"/>
      <c r="G138" s="116"/>
      <c r="H138" s="116"/>
      <c r="I138" s="151"/>
      <c r="J138" s="151"/>
      <c r="K138" s="151"/>
      <c r="L138" s="151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3"/>
      <c r="AC138" s="153"/>
      <c r="AD138" s="153"/>
      <c r="AE138" s="153"/>
      <c r="AF138" s="153"/>
    </row>
    <row r="139" spans="1:32" ht="15.75" outlineLevel="1" x14ac:dyDescent="0.25">
      <c r="A139" s="4"/>
      <c r="B139" s="20" t="s">
        <v>41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3"/>
      <c r="AC139" s="153"/>
      <c r="AD139" s="153"/>
      <c r="AE139" s="153"/>
      <c r="AF139" s="153"/>
    </row>
    <row r="140" spans="1:32" ht="15.75" outlineLevel="1" x14ac:dyDescent="0.25">
      <c r="A140" s="4"/>
      <c r="B140" s="4"/>
      <c r="C140" s="26" t="s">
        <v>65</v>
      </c>
      <c r="D140" s="24" t="s">
        <v>57</v>
      </c>
      <c r="E140" s="86">
        <v>-2533</v>
      </c>
      <c r="F140" s="86">
        <v>-3516</v>
      </c>
      <c r="G140" s="86">
        <v>-3027</v>
      </c>
      <c r="H140" s="87">
        <f>-H41</f>
        <v>-3158.5714621416419</v>
      </c>
      <c r="I140" s="87">
        <f t="shared" ref="I140:L140" si="95">-I41</f>
        <v>-3269.1214633165996</v>
      </c>
      <c r="J140" s="87">
        <f t="shared" si="95"/>
        <v>-2900.1777553137267</v>
      </c>
      <c r="K140" s="87">
        <f t="shared" si="95"/>
        <v>-2987.1830879731447</v>
      </c>
      <c r="L140" s="87">
        <f t="shared" si="95"/>
        <v>-2563.9988171769342</v>
      </c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3"/>
      <c r="AC140" s="153"/>
      <c r="AD140" s="153"/>
      <c r="AE140" s="153"/>
      <c r="AF140" s="153"/>
    </row>
    <row r="141" spans="1:32" ht="15.75" outlineLevel="1" x14ac:dyDescent="0.25">
      <c r="A141" s="4"/>
      <c r="B141" s="4"/>
      <c r="C141" s="109" t="s">
        <v>89</v>
      </c>
      <c r="D141" s="24" t="s">
        <v>57</v>
      </c>
      <c r="E141" s="86">
        <v>31</v>
      </c>
      <c r="F141" s="86">
        <v>85</v>
      </c>
      <c r="G141" s="86">
        <v>63</v>
      </c>
      <c r="H141" s="87">
        <f>+H44</f>
        <v>59.666666666666664</v>
      </c>
      <c r="I141" s="87">
        <f t="shared" ref="I141:L141" si="96">+I44</f>
        <v>59.666666666666664</v>
      </c>
      <c r="J141" s="87">
        <f t="shared" si="96"/>
        <v>59.666666666666664</v>
      </c>
      <c r="K141" s="87">
        <f t="shared" si="96"/>
        <v>59.666666666666664</v>
      </c>
      <c r="L141" s="87">
        <f t="shared" si="96"/>
        <v>59.666666666666664</v>
      </c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3"/>
      <c r="AC141" s="153"/>
      <c r="AD141" s="153"/>
      <c r="AE141" s="153"/>
      <c r="AF141" s="153"/>
    </row>
    <row r="142" spans="1:32" ht="15.75" outlineLevel="1" x14ac:dyDescent="0.25">
      <c r="A142" s="4"/>
      <c r="B142" s="4"/>
      <c r="C142" s="109" t="s">
        <v>90</v>
      </c>
      <c r="D142" s="60" t="s">
        <v>57</v>
      </c>
      <c r="E142" s="86">
        <v>-573</v>
      </c>
      <c r="F142" s="86">
        <v>15</v>
      </c>
      <c r="G142" s="86">
        <v>20</v>
      </c>
      <c r="H142" s="87">
        <f>+H45</f>
        <v>-50</v>
      </c>
      <c r="I142" s="87">
        <f t="shared" ref="I142:L142" si="97">+I45</f>
        <v>-70</v>
      </c>
      <c r="J142" s="87">
        <f t="shared" si="97"/>
        <v>-90</v>
      </c>
      <c r="K142" s="87">
        <f t="shared" si="97"/>
        <v>-100</v>
      </c>
      <c r="L142" s="87">
        <f t="shared" si="97"/>
        <v>-100</v>
      </c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3"/>
      <c r="AC142" s="153"/>
      <c r="AD142" s="153"/>
      <c r="AE142" s="153"/>
      <c r="AF142" s="153"/>
    </row>
    <row r="143" spans="1:32" ht="15.75" outlineLevel="1" x14ac:dyDescent="0.25">
      <c r="A143" s="4"/>
      <c r="B143" s="4"/>
      <c r="C143" s="51" t="s">
        <v>42</v>
      </c>
      <c r="D143" s="24" t="s">
        <v>57</v>
      </c>
      <c r="E143" s="89">
        <f>SUM(E140:E142)</f>
        <v>-3075</v>
      </c>
      <c r="F143" s="89">
        <f>SUM(F140:F142)</f>
        <v>-3416</v>
      </c>
      <c r="G143" s="89">
        <f>SUM(G140:G142)</f>
        <v>-2944</v>
      </c>
      <c r="H143" s="89">
        <f>SUM(H140:H142)</f>
        <v>-3148.9047954749753</v>
      </c>
      <c r="I143" s="89">
        <f t="shared" ref="I143:L143" si="98">SUM(I140:I142)</f>
        <v>-3279.4547966499331</v>
      </c>
      <c r="J143" s="89">
        <f t="shared" si="98"/>
        <v>-2930.5110886470602</v>
      </c>
      <c r="K143" s="89">
        <f t="shared" si="98"/>
        <v>-3027.5164213064782</v>
      </c>
      <c r="L143" s="89">
        <f t="shared" si="98"/>
        <v>-2604.3321505102676</v>
      </c>
      <c r="N143" s="154"/>
      <c r="O143" s="154"/>
      <c r="P143" s="154"/>
      <c r="Q143" s="154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3"/>
      <c r="AC143" s="153"/>
      <c r="AD143" s="153"/>
      <c r="AE143" s="153"/>
      <c r="AF143" s="153"/>
    </row>
    <row r="144" spans="1:32" ht="15.75" outlineLevel="1" x14ac:dyDescent="0.25">
      <c r="A144" s="4"/>
      <c r="B144" s="4"/>
      <c r="C144" s="48"/>
      <c r="D144" s="4"/>
      <c r="E144" s="25"/>
      <c r="F144" s="25"/>
      <c r="G144" s="25"/>
      <c r="H144" s="25"/>
      <c r="I144" s="25"/>
      <c r="J144" s="25"/>
      <c r="K144" s="25"/>
      <c r="L144" s="25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3"/>
      <c r="AC144" s="153"/>
      <c r="AD144" s="153"/>
      <c r="AE144" s="153"/>
      <c r="AF144" s="153"/>
    </row>
    <row r="145" spans="1:32" ht="15.75" outlineLevel="1" x14ac:dyDescent="0.25">
      <c r="A145" s="4"/>
      <c r="B145" s="20" t="s">
        <v>43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3"/>
      <c r="AC145" s="153"/>
      <c r="AD145" s="153"/>
      <c r="AE145" s="153"/>
      <c r="AF145" s="153"/>
    </row>
    <row r="146" spans="1:32" ht="15.75" outlineLevel="1" x14ac:dyDescent="0.25">
      <c r="A146" s="4"/>
      <c r="B146" s="4"/>
      <c r="C146" s="110" t="s">
        <v>73</v>
      </c>
      <c r="D146" s="24" t="s">
        <v>57</v>
      </c>
      <c r="E146" s="90">
        <v>739</v>
      </c>
      <c r="F146" s="90">
        <v>0</v>
      </c>
      <c r="G146" s="90">
        <v>1739</v>
      </c>
      <c r="H146" s="116">
        <f>+H47</f>
        <v>425</v>
      </c>
      <c r="I146" s="116">
        <f t="shared" ref="I146:L146" si="99">+I47</f>
        <v>0</v>
      </c>
      <c r="J146" s="116">
        <f t="shared" si="99"/>
        <v>125</v>
      </c>
      <c r="K146" s="116">
        <f t="shared" si="99"/>
        <v>150</v>
      </c>
      <c r="L146" s="116">
        <f t="shared" si="99"/>
        <v>0</v>
      </c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3"/>
      <c r="AC146" s="153"/>
      <c r="AD146" s="153"/>
      <c r="AE146" s="153"/>
      <c r="AF146" s="153"/>
    </row>
    <row r="147" spans="1:32" ht="14.45" customHeight="1" outlineLevel="1" x14ac:dyDescent="0.25">
      <c r="A147" s="4"/>
      <c r="B147" s="4"/>
      <c r="C147" s="110" t="s">
        <v>91</v>
      </c>
      <c r="D147" s="24" t="s">
        <v>57</v>
      </c>
      <c r="E147" s="90">
        <v>-2192</v>
      </c>
      <c r="F147" s="90">
        <v>-281</v>
      </c>
      <c r="G147" s="90">
        <v>-2069</v>
      </c>
      <c r="H147" s="87">
        <f t="shared" ref="H147:L147" si="100">+H48</f>
        <v>-1550</v>
      </c>
      <c r="I147" s="87">
        <f t="shared" si="100"/>
        <v>-625</v>
      </c>
      <c r="J147" s="87">
        <f t="shared" si="100"/>
        <v>-1500</v>
      </c>
      <c r="K147" s="87">
        <f t="shared" si="100"/>
        <v>-1250</v>
      </c>
      <c r="L147" s="87">
        <f t="shared" si="100"/>
        <v>-750</v>
      </c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3"/>
      <c r="AC147" s="153"/>
      <c r="AD147" s="153"/>
      <c r="AE147" s="153"/>
      <c r="AF147" s="153"/>
    </row>
    <row r="148" spans="1:32" ht="15.75" outlineLevel="1" x14ac:dyDescent="0.25">
      <c r="A148" s="4"/>
      <c r="B148" s="4"/>
      <c r="C148" s="110" t="s">
        <v>52</v>
      </c>
      <c r="D148" s="24" t="s">
        <v>57</v>
      </c>
      <c r="E148" s="90">
        <v>-1338</v>
      </c>
      <c r="F148" s="90">
        <v>-1335</v>
      </c>
      <c r="G148" s="90">
        <v>-1330</v>
      </c>
      <c r="H148" s="121">
        <f>-H80*H50</f>
        <v>-1325.3750928150303</v>
      </c>
      <c r="I148" s="121">
        <f t="shared" ref="I148:L148" si="101">-I80*I50</f>
        <v>-1371.5884949318718</v>
      </c>
      <c r="J148" s="121">
        <f t="shared" si="101"/>
        <v>-1404.2819459479233</v>
      </c>
      <c r="K148" s="121">
        <f t="shared" si="101"/>
        <v>-1450.4794196272171</v>
      </c>
      <c r="L148" s="121">
        <f t="shared" si="101"/>
        <v>-1484.9449431461317</v>
      </c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3"/>
      <c r="AC148" s="153"/>
      <c r="AD148" s="153"/>
      <c r="AE148" s="153"/>
      <c r="AF148" s="153"/>
    </row>
    <row r="149" spans="1:32" ht="15.75" outlineLevel="1" x14ac:dyDescent="0.25">
      <c r="A149" s="4"/>
      <c r="B149" s="4"/>
      <c r="C149" s="110" t="s">
        <v>60</v>
      </c>
      <c r="D149" s="24" t="s">
        <v>57</v>
      </c>
      <c r="E149" s="90">
        <v>-1046</v>
      </c>
      <c r="F149" s="90">
        <v>-2124</v>
      </c>
      <c r="G149" s="90">
        <v>-1565</v>
      </c>
      <c r="H149" s="121">
        <f>+H51</f>
        <v>-1578.3333333333333</v>
      </c>
      <c r="I149" s="121">
        <f t="shared" ref="I149:L149" si="102">+I51</f>
        <v>-1578.3333333333333</v>
      </c>
      <c r="J149" s="121">
        <f t="shared" si="102"/>
        <v>-1578.3333333333333</v>
      </c>
      <c r="K149" s="121">
        <f t="shared" si="102"/>
        <v>-1578.3333333333333</v>
      </c>
      <c r="L149" s="121">
        <f t="shared" si="102"/>
        <v>-1578.3333333333333</v>
      </c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3"/>
      <c r="AA149" s="153"/>
      <c r="AB149" s="153"/>
      <c r="AC149" s="153"/>
      <c r="AD149" s="153"/>
      <c r="AE149" s="153"/>
      <c r="AF149" s="153"/>
    </row>
    <row r="150" spans="1:32" ht="15.75" outlineLevel="1" x14ac:dyDescent="0.25">
      <c r="A150" s="4"/>
      <c r="B150" s="4"/>
      <c r="C150" s="111" t="s">
        <v>92</v>
      </c>
      <c r="D150" s="60" t="s">
        <v>57</v>
      </c>
      <c r="E150" s="91">
        <v>108</v>
      </c>
      <c r="F150" s="91">
        <v>96</v>
      </c>
      <c r="G150" s="91">
        <v>73</v>
      </c>
      <c r="H150" s="130">
        <f>+H53</f>
        <v>92.333333333333329</v>
      </c>
      <c r="I150" s="130">
        <f t="shared" ref="I150:L150" si="103">+I53</f>
        <v>92.333333333333329</v>
      </c>
      <c r="J150" s="130">
        <f t="shared" si="103"/>
        <v>92.333333333333329</v>
      </c>
      <c r="K150" s="130">
        <f t="shared" si="103"/>
        <v>92.333333333333329</v>
      </c>
      <c r="L150" s="130">
        <f t="shared" si="103"/>
        <v>92.333333333333329</v>
      </c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3"/>
      <c r="AA150" s="153"/>
      <c r="AB150" s="153"/>
      <c r="AC150" s="153"/>
      <c r="AD150" s="153"/>
      <c r="AE150" s="153"/>
      <c r="AF150" s="153"/>
    </row>
    <row r="151" spans="1:32" ht="14.45" customHeight="1" outlineLevel="1" x14ac:dyDescent="0.25">
      <c r="A151" s="4"/>
      <c r="B151" s="4"/>
      <c r="C151" s="43" t="s">
        <v>44</v>
      </c>
      <c r="D151" s="24" t="s">
        <v>57</v>
      </c>
      <c r="E151" s="88">
        <f>SUM(E146:E150)</f>
        <v>-3729</v>
      </c>
      <c r="F151" s="88">
        <f t="shared" ref="F151:G151" si="104">SUM(F146:F150)</f>
        <v>-3644</v>
      </c>
      <c r="G151" s="88">
        <f t="shared" si="104"/>
        <v>-3152</v>
      </c>
      <c r="H151" s="88">
        <f>SUM(H146:H150)</f>
        <v>-3936.3750928150298</v>
      </c>
      <c r="I151" s="88">
        <f t="shared" ref="I151:L151" si="105">SUM(I146:I150)</f>
        <v>-3482.5884949318715</v>
      </c>
      <c r="J151" s="88">
        <f t="shared" si="105"/>
        <v>-4265.2819459479233</v>
      </c>
      <c r="K151" s="88">
        <f t="shared" si="105"/>
        <v>-4036.4794196272164</v>
      </c>
      <c r="L151" s="88">
        <f t="shared" si="105"/>
        <v>-3720.9449431461312</v>
      </c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3"/>
      <c r="AA151" s="153"/>
      <c r="AB151" s="153"/>
      <c r="AC151" s="153"/>
      <c r="AD151" s="153"/>
      <c r="AE151" s="153"/>
      <c r="AF151" s="153"/>
    </row>
    <row r="152" spans="1:32" ht="15.75" outlineLevel="1" x14ac:dyDescent="0.25">
      <c r="A152" s="4"/>
      <c r="B152" s="4"/>
      <c r="C152" s="43"/>
      <c r="D152" s="4"/>
      <c r="E152" s="25"/>
      <c r="F152" s="25"/>
      <c r="G152" s="25"/>
      <c r="H152" s="25"/>
      <c r="I152" s="25"/>
      <c r="J152" s="25"/>
      <c r="K152" s="25"/>
      <c r="L152" s="25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3"/>
      <c r="AA152" s="153"/>
      <c r="AB152" s="153"/>
      <c r="AC152" s="153"/>
      <c r="AD152" s="153"/>
      <c r="AE152" s="153"/>
      <c r="AF152" s="153"/>
    </row>
    <row r="153" spans="1:32" ht="14.45" customHeight="1" outlineLevel="1" x14ac:dyDescent="0.25">
      <c r="A153" s="4"/>
      <c r="B153" s="4"/>
      <c r="C153" s="38" t="s">
        <v>64</v>
      </c>
      <c r="D153" s="24" t="s">
        <v>57</v>
      </c>
      <c r="E153" s="103">
        <f>+E137+E143+E151</f>
        <v>131</v>
      </c>
      <c r="F153" s="103">
        <f t="shared" ref="F153:G153" si="106">+F137+F143+F151</f>
        <v>-1087</v>
      </c>
      <c r="G153" s="103">
        <f t="shared" si="106"/>
        <v>1021</v>
      </c>
      <c r="H153" s="103">
        <f>+H137+H143+H151</f>
        <v>-1079.461791884105</v>
      </c>
      <c r="I153" s="103">
        <f t="shared" ref="I153:L153" si="107">+I137+I143+I151</f>
        <v>98.508921578101763</v>
      </c>
      <c r="J153" s="103">
        <f t="shared" si="107"/>
        <v>-145.57957009405891</v>
      </c>
      <c r="K153" s="103">
        <f t="shared" si="107"/>
        <v>257.99358948906638</v>
      </c>
      <c r="L153" s="103">
        <f t="shared" si="107"/>
        <v>1208.2961482771284</v>
      </c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3"/>
      <c r="AA153" s="153"/>
      <c r="AB153" s="153"/>
      <c r="AC153" s="153"/>
      <c r="AD153" s="153"/>
      <c r="AE153" s="153"/>
      <c r="AF153" s="153"/>
    </row>
    <row r="154" spans="1:32" ht="14.45" customHeight="1" outlineLevel="1" x14ac:dyDescent="0.25">
      <c r="A154" s="4"/>
      <c r="B154" s="4"/>
      <c r="C154" s="49" t="s">
        <v>45</v>
      </c>
      <c r="D154" s="60" t="s">
        <v>57</v>
      </c>
      <c r="E154" s="104">
        <v>2512</v>
      </c>
      <c r="F154" s="105">
        <f>+E155</f>
        <v>2643</v>
      </c>
      <c r="G154" s="106">
        <f>+F155</f>
        <v>1556</v>
      </c>
      <c r="H154" s="106">
        <f>+G155</f>
        <v>2577</v>
      </c>
      <c r="I154" s="106">
        <f t="shared" ref="I154:L154" si="108">+H155</f>
        <v>1497.538208115895</v>
      </c>
      <c r="J154" s="106">
        <f t="shared" si="108"/>
        <v>1596.0471296939968</v>
      </c>
      <c r="K154" s="106">
        <f t="shared" si="108"/>
        <v>1450.4675595999379</v>
      </c>
      <c r="L154" s="106">
        <f t="shared" si="108"/>
        <v>1708.4611490890043</v>
      </c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3"/>
      <c r="AA154" s="153"/>
      <c r="AB154" s="153"/>
      <c r="AC154" s="153"/>
      <c r="AD154" s="153"/>
      <c r="AE154" s="153"/>
      <c r="AF154" s="153"/>
    </row>
    <row r="155" spans="1:32" ht="14.45" customHeight="1" outlineLevel="1" x14ac:dyDescent="0.25">
      <c r="A155" s="4"/>
      <c r="B155" s="4"/>
      <c r="C155" s="48" t="s">
        <v>46</v>
      </c>
      <c r="D155" s="24" t="s">
        <v>57</v>
      </c>
      <c r="E155" s="107">
        <f>SUM(E153:E154)</f>
        <v>2643</v>
      </c>
      <c r="F155" s="107">
        <f>SUM(F153:F154)</f>
        <v>1556</v>
      </c>
      <c r="G155" s="107">
        <f>SUM(G153:G154)</f>
        <v>2577</v>
      </c>
      <c r="H155" s="107">
        <f>SUM(H153:H154)</f>
        <v>1497.538208115895</v>
      </c>
      <c r="I155" s="107">
        <f t="shared" ref="I155:L155" si="109">SUM(I153:I154)</f>
        <v>1596.0471296939968</v>
      </c>
      <c r="J155" s="107">
        <f t="shared" si="109"/>
        <v>1450.4675595999379</v>
      </c>
      <c r="K155" s="107">
        <f t="shared" si="109"/>
        <v>1708.4611490890043</v>
      </c>
      <c r="L155" s="107">
        <f t="shared" si="109"/>
        <v>2916.7572973661327</v>
      </c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3"/>
      <c r="AA155" s="153"/>
      <c r="AB155" s="153"/>
      <c r="AC155" s="153"/>
      <c r="AD155" s="153"/>
      <c r="AE155" s="153"/>
      <c r="AF155" s="153"/>
    </row>
    <row r="156" spans="1:32" ht="15.75" x14ac:dyDescent="0.25"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3"/>
      <c r="AA156" s="153"/>
      <c r="AB156" s="153"/>
      <c r="AC156" s="153"/>
      <c r="AD156" s="153"/>
      <c r="AE156" s="153"/>
      <c r="AF156" s="153"/>
    </row>
    <row r="157" spans="1:32" ht="15.75" x14ac:dyDescent="0.25">
      <c r="F157" s="138"/>
      <c r="G157" s="138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3"/>
      <c r="AA157" s="153"/>
      <c r="AB157" s="153"/>
      <c r="AC157" s="153"/>
      <c r="AD157" s="153"/>
      <c r="AE157" s="153"/>
      <c r="AF157" s="153"/>
    </row>
    <row r="158" spans="1:32" ht="15.75" x14ac:dyDescent="0.25">
      <c r="F158" s="138"/>
      <c r="G158" s="138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3"/>
      <c r="AA158" s="153"/>
      <c r="AB158" s="153"/>
      <c r="AC158" s="153"/>
      <c r="AD158" s="153"/>
      <c r="AE158" s="153"/>
      <c r="AF158" s="153"/>
    </row>
    <row r="159" spans="1:32" ht="15.75" x14ac:dyDescent="0.25"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3"/>
      <c r="AA159" s="153"/>
      <c r="AB159" s="153"/>
      <c r="AC159" s="153"/>
      <c r="AD159" s="153"/>
      <c r="AE159" s="153"/>
      <c r="AF159" s="153"/>
    </row>
    <row r="160" spans="1:32" ht="15.75" x14ac:dyDescent="0.25">
      <c r="F160" s="138"/>
      <c r="G160" s="138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3"/>
      <c r="AA160" s="153"/>
      <c r="AB160" s="153"/>
      <c r="AC160" s="153"/>
      <c r="AD160" s="153"/>
      <c r="AE160" s="153"/>
      <c r="AF160" s="153"/>
    </row>
    <row r="161" spans="6:32" ht="15.75" x14ac:dyDescent="0.25">
      <c r="F161" s="138"/>
      <c r="G161" s="138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3"/>
      <c r="AA161" s="153"/>
      <c r="AB161" s="153"/>
      <c r="AC161" s="153"/>
      <c r="AD161" s="153"/>
      <c r="AE161" s="153"/>
      <c r="AF161" s="153"/>
    </row>
    <row r="162" spans="6:32" ht="15.75" x14ac:dyDescent="0.25"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3"/>
      <c r="AA162" s="153"/>
      <c r="AB162" s="153"/>
      <c r="AC162" s="153"/>
      <c r="AD162" s="153"/>
      <c r="AE162" s="153"/>
      <c r="AF162" s="153"/>
    </row>
    <row r="163" spans="6:32" ht="15.75" x14ac:dyDescent="0.25"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3"/>
      <c r="AA163" s="153"/>
      <c r="AB163" s="153"/>
      <c r="AC163" s="153"/>
      <c r="AD163" s="153"/>
      <c r="AE163" s="153"/>
      <c r="AF163" s="153"/>
    </row>
    <row r="164" spans="6:32" ht="15.75" x14ac:dyDescent="0.25"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3"/>
      <c r="AA164" s="153"/>
      <c r="AB164" s="153"/>
      <c r="AC164" s="153"/>
      <c r="AD164" s="153"/>
      <c r="AE164" s="153"/>
      <c r="AF164" s="153"/>
    </row>
    <row r="165" spans="6:32" ht="15.75" x14ac:dyDescent="0.25"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3"/>
      <c r="AA165" s="153"/>
      <c r="AB165" s="153"/>
      <c r="AC165" s="153"/>
      <c r="AD165" s="153"/>
      <c r="AE165" s="153"/>
      <c r="AF165" s="153"/>
    </row>
    <row r="166" spans="6:32" ht="15.75" x14ac:dyDescent="0.25"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3"/>
      <c r="AA166" s="153"/>
      <c r="AB166" s="153"/>
      <c r="AC166" s="153"/>
      <c r="AD166" s="153"/>
      <c r="AE166" s="153"/>
      <c r="AF166" s="153"/>
    </row>
    <row r="167" spans="6:32" ht="15.75" x14ac:dyDescent="0.25"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22"/>
    </row>
    <row r="168" spans="6:32" ht="15.75" x14ac:dyDescent="0.25"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22"/>
    </row>
    <row r="169" spans="6:32" ht="15.75" x14ac:dyDescent="0.25">
      <c r="N169" s="66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22"/>
    </row>
    <row r="170" spans="6:32" ht="15.75" x14ac:dyDescent="0.25">
      <c r="N170" s="66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22"/>
    </row>
    <row r="171" spans="6:32" ht="15.75" x14ac:dyDescent="0.25">
      <c r="N171" s="66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22"/>
    </row>
    <row r="172" spans="6:32" ht="15.75" x14ac:dyDescent="0.25">
      <c r="N172" s="66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22"/>
    </row>
    <row r="173" spans="6:32" ht="15.75" x14ac:dyDescent="0.25">
      <c r="N173" s="66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22"/>
    </row>
  </sheetData>
  <pageMargins left="0.7" right="0.7" top="0.75" bottom="0.75" header="0.3" footer="0.3"/>
  <pageSetup scale="49" orientation="portrait" horizontalDpi="200" verticalDpi="200" r:id="rId1"/>
  <rowBreaks count="4" manualBreakCount="4">
    <brk id="34" max="12" man="1"/>
    <brk id="54" max="12" man="1"/>
    <brk id="81" max="14" man="1"/>
    <brk id="11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94B30-577C-4DC7-9A63-8C72E4874A47}">
  <dimension ref="B2:S46"/>
  <sheetViews>
    <sheetView showGridLines="0" zoomScaleNormal="100" workbookViewId="0">
      <selection activeCell="K10" sqref="K10:Q10"/>
    </sheetView>
  </sheetViews>
  <sheetFormatPr defaultRowHeight="15.75" x14ac:dyDescent="0.25"/>
  <cols>
    <col min="1" max="2" width="2.7109375" style="136" customWidth="1"/>
    <col min="3" max="8" width="13.7109375" style="136" customWidth="1"/>
    <col min="9" max="10" width="2.7109375" style="136" customWidth="1"/>
    <col min="11" max="16" width="13.7109375" style="136" customWidth="1"/>
    <col min="17" max="17" width="2.7109375" style="136" customWidth="1"/>
    <col min="18" max="16384" width="9.140625" style="136"/>
  </cols>
  <sheetData>
    <row r="2" spans="2:16" ht="18.75" x14ac:dyDescent="0.3">
      <c r="B2" s="79" t="s">
        <v>185</v>
      </c>
    </row>
    <row r="3" spans="2:16" x14ac:dyDescent="0.25">
      <c r="B3" s="136" t="s">
        <v>112</v>
      </c>
    </row>
    <row r="5" spans="2:16" x14ac:dyDescent="0.25">
      <c r="B5" s="149" t="s">
        <v>162</v>
      </c>
      <c r="C5" s="150"/>
      <c r="D5" s="150"/>
      <c r="E5" s="150"/>
      <c r="F5" s="150"/>
      <c r="G5" s="150"/>
      <c r="H5" s="150"/>
      <c r="J5" s="149" t="s">
        <v>163</v>
      </c>
      <c r="K5" s="150"/>
      <c r="L5" s="150"/>
      <c r="M5" s="150"/>
      <c r="N5" s="150"/>
      <c r="O5" s="150"/>
      <c r="P5" s="150"/>
    </row>
    <row r="6" spans="2:16" x14ac:dyDescent="0.25">
      <c r="B6" s="5"/>
      <c r="J6" s="5"/>
    </row>
    <row r="7" spans="2:16" x14ac:dyDescent="0.25">
      <c r="B7" s="5"/>
      <c r="C7" s="20" t="s">
        <v>164</v>
      </c>
      <c r="D7" s="152"/>
      <c r="E7" s="152"/>
      <c r="F7" s="140" t="s">
        <v>113</v>
      </c>
      <c r="G7" s="140" t="s">
        <v>114</v>
      </c>
      <c r="H7" s="140" t="s">
        <v>115</v>
      </c>
      <c r="J7" s="5"/>
      <c r="K7" s="20" t="s">
        <v>164</v>
      </c>
      <c r="L7" s="152"/>
      <c r="M7" s="152"/>
      <c r="N7" s="140" t="s">
        <v>113</v>
      </c>
      <c r="O7" s="140" t="s">
        <v>114</v>
      </c>
      <c r="P7" s="140" t="s">
        <v>115</v>
      </c>
    </row>
    <row r="8" spans="2:16" x14ac:dyDescent="0.25">
      <c r="B8" s="5"/>
      <c r="C8" s="162" t="s">
        <v>165</v>
      </c>
      <c r="D8" s="153"/>
      <c r="E8" s="143">
        <v>2557</v>
      </c>
      <c r="F8" s="143">
        <v>2141</v>
      </c>
      <c r="G8" s="143">
        <v>2408</v>
      </c>
      <c r="H8" s="143">
        <v>2565</v>
      </c>
      <c r="J8" s="5"/>
      <c r="K8" s="162" t="s">
        <v>165</v>
      </c>
      <c r="L8" s="153"/>
      <c r="M8" s="143">
        <v>24.56</v>
      </c>
      <c r="N8" s="143">
        <v>42.228000000000002</v>
      </c>
      <c r="O8" s="143">
        <v>78.62</v>
      </c>
      <c r="P8" s="143">
        <v>89.260999999999996</v>
      </c>
    </row>
    <row r="9" spans="2:16" x14ac:dyDescent="0.25">
      <c r="B9" s="5"/>
      <c r="C9" s="160" t="s">
        <v>65</v>
      </c>
      <c r="D9" s="153"/>
      <c r="E9" s="144">
        <v>-580</v>
      </c>
      <c r="F9" s="144">
        <v>-688</v>
      </c>
      <c r="G9" s="144">
        <v>-819</v>
      </c>
      <c r="H9" s="144">
        <v>-743</v>
      </c>
      <c r="J9" s="5"/>
      <c r="K9" s="160" t="s">
        <v>65</v>
      </c>
      <c r="L9" s="153"/>
      <c r="M9" s="144">
        <v>-20.646999999999998</v>
      </c>
      <c r="N9" s="144">
        <v>-16.396000000000001</v>
      </c>
      <c r="O9" s="144">
        <v>-35.323</v>
      </c>
      <c r="P9" s="144">
        <v>-39.14</v>
      </c>
    </row>
    <row r="10" spans="2:16" x14ac:dyDescent="0.25">
      <c r="B10" s="5"/>
      <c r="C10" s="51" t="s">
        <v>166</v>
      </c>
      <c r="D10" s="161"/>
      <c r="E10" s="146">
        <f>SUM(E8:E9)</f>
        <v>1977</v>
      </c>
      <c r="F10" s="146">
        <f t="shared" ref="F10:H10" si="0">SUM(F8:F9)</f>
        <v>1453</v>
      </c>
      <c r="G10" s="146">
        <f t="shared" si="0"/>
        <v>1589</v>
      </c>
      <c r="H10" s="146">
        <f t="shared" si="0"/>
        <v>1822</v>
      </c>
      <c r="J10" s="5"/>
      <c r="K10" s="51" t="s">
        <v>166</v>
      </c>
      <c r="L10" s="161"/>
      <c r="M10" s="146">
        <f>SUM(M8:M9)</f>
        <v>3.9130000000000003</v>
      </c>
      <c r="N10" s="146">
        <f t="shared" ref="N10:P10" si="1">SUM(N8:N9)</f>
        <v>25.832000000000001</v>
      </c>
      <c r="O10" s="146">
        <f t="shared" si="1"/>
        <v>43.297000000000004</v>
      </c>
      <c r="P10" s="146">
        <f t="shared" si="1"/>
        <v>50.120999999999995</v>
      </c>
    </row>
    <row r="11" spans="2:16" x14ac:dyDescent="0.25">
      <c r="B11" s="5"/>
      <c r="J11" s="5"/>
    </row>
    <row r="12" spans="2:16" x14ac:dyDescent="0.25">
      <c r="C12" s="139" t="s">
        <v>123</v>
      </c>
      <c r="D12" s="134"/>
      <c r="E12" s="134"/>
      <c r="F12" s="140" t="s">
        <v>113</v>
      </c>
      <c r="G12" s="140" t="s">
        <v>114</v>
      </c>
      <c r="H12" s="140" t="s">
        <v>115</v>
      </c>
      <c r="K12" s="139" t="s">
        <v>133</v>
      </c>
      <c r="L12" s="134"/>
      <c r="M12" s="134"/>
      <c r="N12" s="140" t="s">
        <v>113</v>
      </c>
      <c r="O12" s="140" t="s">
        <v>114</v>
      </c>
      <c r="P12" s="140" t="s">
        <v>115</v>
      </c>
    </row>
    <row r="13" spans="2:16" x14ac:dyDescent="0.25">
      <c r="C13" s="142" t="s">
        <v>116</v>
      </c>
      <c r="F13" s="144">
        <v>315</v>
      </c>
      <c r="G13" s="144">
        <v>28</v>
      </c>
      <c r="H13" s="144">
        <v>-131</v>
      </c>
      <c r="K13" s="142" t="s">
        <v>116</v>
      </c>
      <c r="N13" s="144">
        <v>-21.201000000000001</v>
      </c>
      <c r="O13" s="144">
        <v>-30.007000000000001</v>
      </c>
      <c r="P13" s="144">
        <v>-50.061</v>
      </c>
    </row>
    <row r="14" spans="2:16" x14ac:dyDescent="0.25">
      <c r="C14" s="142" t="s">
        <v>117</v>
      </c>
      <c r="F14" s="144">
        <v>-335</v>
      </c>
      <c r="G14" s="144">
        <v>-194</v>
      </c>
      <c r="H14" s="144">
        <v>237</v>
      </c>
      <c r="K14" s="142" t="s">
        <v>118</v>
      </c>
      <c r="N14" s="144">
        <v>-5.1120000000000001</v>
      </c>
      <c r="O14" s="144">
        <v>-10.62</v>
      </c>
      <c r="P14" s="144">
        <v>-8.3490000000000002</v>
      </c>
    </row>
    <row r="15" spans="2:16" x14ac:dyDescent="0.25">
      <c r="C15" s="142" t="s">
        <v>125</v>
      </c>
      <c r="F15" s="144">
        <v>-21</v>
      </c>
      <c r="G15" s="144">
        <v>-34</v>
      </c>
      <c r="H15" s="144">
        <v>16</v>
      </c>
      <c r="K15" s="142" t="s">
        <v>128</v>
      </c>
      <c r="N15" s="144">
        <v>-22.762</v>
      </c>
      <c r="O15" s="144">
        <v>-40.898000000000003</v>
      </c>
      <c r="P15" s="144">
        <v>-49.921999999999997</v>
      </c>
    </row>
    <row r="16" spans="2:16" x14ac:dyDescent="0.25">
      <c r="C16" s="142" t="s">
        <v>16</v>
      </c>
      <c r="F16" s="144">
        <v>-196</v>
      </c>
      <c r="G16" s="144">
        <v>432</v>
      </c>
      <c r="H16" s="144">
        <v>47</v>
      </c>
      <c r="K16" s="142" t="s">
        <v>129</v>
      </c>
      <c r="N16" s="144">
        <v>0</v>
      </c>
      <c r="O16" s="144">
        <v>0</v>
      </c>
      <c r="P16" s="144">
        <v>18.940000000000001</v>
      </c>
    </row>
    <row r="17" spans="3:19" x14ac:dyDescent="0.25">
      <c r="C17" s="142" t="s">
        <v>126</v>
      </c>
      <c r="F17" s="144">
        <v>290</v>
      </c>
      <c r="G17" s="144">
        <v>22</v>
      </c>
      <c r="H17" s="144">
        <v>-132</v>
      </c>
      <c r="K17" s="142" t="s">
        <v>130</v>
      </c>
      <c r="N17" s="144">
        <v>-5.7649999999999997</v>
      </c>
      <c r="O17" s="144">
        <v>6.6349999999999998</v>
      </c>
      <c r="P17" s="144">
        <v>-1.081</v>
      </c>
    </row>
    <row r="18" spans="3:19" x14ac:dyDescent="0.25">
      <c r="C18" s="142" t="s">
        <v>127</v>
      </c>
      <c r="D18" s="145"/>
      <c r="E18" s="145"/>
      <c r="F18" s="144">
        <v>117</v>
      </c>
      <c r="G18" s="144">
        <v>-234</v>
      </c>
      <c r="H18" s="144">
        <v>-100</v>
      </c>
      <c r="K18" s="142" t="s">
        <v>16</v>
      </c>
      <c r="N18" s="144">
        <v>1.839</v>
      </c>
      <c r="O18" s="144">
        <v>7.5339999999999998</v>
      </c>
      <c r="P18" s="144">
        <v>22.128</v>
      </c>
    </row>
    <row r="19" spans="3:19" x14ac:dyDescent="0.25">
      <c r="C19" s="51" t="s">
        <v>124</v>
      </c>
      <c r="F19" s="146">
        <f>SUM(F13:F18)</f>
        <v>170</v>
      </c>
      <c r="G19" s="146">
        <f t="shared" ref="G19:H19" si="2">SUM(G13:G18)</f>
        <v>20</v>
      </c>
      <c r="H19" s="146">
        <f t="shared" si="2"/>
        <v>-63</v>
      </c>
      <c r="K19" s="142" t="s">
        <v>69</v>
      </c>
      <c r="N19" s="144">
        <v>6.9189999999999996</v>
      </c>
      <c r="O19" s="144">
        <v>3.8439999999999999</v>
      </c>
      <c r="P19" s="144">
        <v>3.2589999999999999</v>
      </c>
    </row>
    <row r="20" spans="3:19" x14ac:dyDescent="0.25">
      <c r="H20" s="141"/>
      <c r="K20" s="142" t="s">
        <v>131</v>
      </c>
      <c r="N20" s="144">
        <v>7.399</v>
      </c>
      <c r="O20" s="144">
        <v>15.026</v>
      </c>
      <c r="P20" s="144">
        <v>11.282</v>
      </c>
    </row>
    <row r="21" spans="3:19" x14ac:dyDescent="0.25">
      <c r="C21" s="163" t="s">
        <v>120</v>
      </c>
      <c r="E21" s="143">
        <v>39403</v>
      </c>
      <c r="F21" s="143">
        <v>42151</v>
      </c>
      <c r="G21" s="143">
        <v>42879</v>
      </c>
      <c r="H21" s="143">
        <v>43638</v>
      </c>
      <c r="K21" s="142" t="s">
        <v>119</v>
      </c>
      <c r="N21" s="144">
        <v>51.530999999999999</v>
      </c>
      <c r="O21" s="144">
        <v>73.052999999999997</v>
      </c>
      <c r="P21" s="144">
        <v>78.11</v>
      </c>
    </row>
    <row r="22" spans="3:19" x14ac:dyDescent="0.25">
      <c r="C22" s="160"/>
      <c r="K22" s="142" t="s">
        <v>132</v>
      </c>
      <c r="N22" s="144">
        <v>0</v>
      </c>
      <c r="O22" s="144">
        <v>0</v>
      </c>
      <c r="P22" s="144">
        <v>-18.867999999999999</v>
      </c>
    </row>
    <row r="23" spans="3:19" x14ac:dyDescent="0.25">
      <c r="C23" s="136" t="s">
        <v>122</v>
      </c>
      <c r="F23" s="148">
        <f>+F19/(F21-E21)</f>
        <v>6.186317321688501E-2</v>
      </c>
      <c r="G23" s="148">
        <f t="shared" ref="G23:H23" si="3">+G19/(G21-F21)</f>
        <v>2.7472527472527472E-2</v>
      </c>
      <c r="H23" s="148">
        <f t="shared" si="3"/>
        <v>-8.3003952569169967E-2</v>
      </c>
      <c r="K23" s="51" t="s">
        <v>124</v>
      </c>
      <c r="L23" s="147"/>
      <c r="M23" s="147"/>
      <c r="N23" s="146">
        <f>SUM(N13:N22)</f>
        <v>12.847999999999992</v>
      </c>
      <c r="O23" s="146">
        <f t="shared" ref="O23:P23" si="4">SUM(O13:O22)</f>
        <v>24.567000000000007</v>
      </c>
      <c r="P23" s="146">
        <f t="shared" si="4"/>
        <v>5.4379999999999988</v>
      </c>
    </row>
    <row r="24" spans="3:19" x14ac:dyDescent="0.25">
      <c r="C24" s="136" t="s">
        <v>121</v>
      </c>
      <c r="F24" s="148">
        <f>+F19/F21</f>
        <v>4.0331190244596807E-3</v>
      </c>
      <c r="G24" s="148">
        <f t="shared" ref="G24:H24" si="5">+G19/G21</f>
        <v>4.664287879847944E-4</v>
      </c>
      <c r="H24" s="148">
        <f t="shared" si="5"/>
        <v>-1.4436958614051972E-3</v>
      </c>
    </row>
    <row r="25" spans="3:19" x14ac:dyDescent="0.25">
      <c r="C25" s="153"/>
      <c r="D25" s="153"/>
      <c r="E25" s="153"/>
      <c r="F25" s="153"/>
      <c r="G25" s="153"/>
      <c r="H25" s="153"/>
      <c r="K25" s="163" t="s">
        <v>120</v>
      </c>
      <c r="M25" s="143">
        <v>312.84399999999999</v>
      </c>
      <c r="N25" s="143">
        <v>430.16500000000002</v>
      </c>
      <c r="O25" s="143">
        <v>598.74599999999998</v>
      </c>
      <c r="P25" s="143">
        <v>816.41600000000005</v>
      </c>
    </row>
    <row r="26" spans="3:19" x14ac:dyDescent="0.25">
      <c r="C26" s="153" t="s">
        <v>167</v>
      </c>
      <c r="D26" s="153"/>
      <c r="E26" s="153"/>
      <c r="F26" s="148">
        <f>-F9/F8</f>
        <v>0.32134516581036898</v>
      </c>
      <c r="G26" s="148">
        <f t="shared" ref="G26:H26" si="6">-G9/G8</f>
        <v>0.34011627906976744</v>
      </c>
      <c r="H26" s="148">
        <f t="shared" si="6"/>
        <v>0.28966861598440546</v>
      </c>
      <c r="I26" s="153"/>
      <c r="K26" s="160"/>
    </row>
    <row r="27" spans="3:19" x14ac:dyDescent="0.25">
      <c r="C27" s="153" t="s">
        <v>168</v>
      </c>
      <c r="D27" s="153"/>
      <c r="E27" s="153"/>
      <c r="F27" s="148">
        <f>+F19/F8</f>
        <v>7.9402148528724889E-2</v>
      </c>
      <c r="G27" s="148">
        <f t="shared" ref="G27:H27" si="7">+G19/G8</f>
        <v>8.3056478405315621E-3</v>
      </c>
      <c r="H27" s="148">
        <f t="shared" si="7"/>
        <v>-2.456140350877193E-2</v>
      </c>
      <c r="I27" s="153"/>
      <c r="K27" s="136" t="s">
        <v>122</v>
      </c>
      <c r="N27" s="148">
        <f>+N23/(N25-M25)</f>
        <v>0.10951151115316089</v>
      </c>
      <c r="O27" s="148">
        <f t="shared" ref="O27:P27" si="8">+O23/(O25-N25)</f>
        <v>0.14572816628208407</v>
      </c>
      <c r="P27" s="148">
        <f t="shared" si="8"/>
        <v>2.4982772086185497E-2</v>
      </c>
    </row>
    <row r="28" spans="3:19" x14ac:dyDescent="0.25">
      <c r="C28" s="153"/>
      <c r="D28" s="153"/>
      <c r="E28" s="153"/>
      <c r="F28" s="153"/>
      <c r="G28" s="153"/>
      <c r="H28" s="153"/>
      <c r="I28" s="153"/>
      <c r="K28" s="136" t="s">
        <v>121</v>
      </c>
      <c r="N28" s="148">
        <f>+N23/N25</f>
        <v>2.9867608940755273E-2</v>
      </c>
      <c r="O28" s="148">
        <f t="shared" ref="O28:P28" si="9">+O23/O25</f>
        <v>4.1030754276437771E-2</v>
      </c>
      <c r="P28" s="148">
        <f t="shared" si="9"/>
        <v>6.6608199741308334E-3</v>
      </c>
    </row>
    <row r="29" spans="3:19" x14ac:dyDescent="0.25">
      <c r="C29" s="153" t="s">
        <v>169</v>
      </c>
      <c r="D29" s="153"/>
      <c r="E29" s="153"/>
      <c r="F29" s="148">
        <f>+F21/E21-1</f>
        <v>6.97408826739081E-2</v>
      </c>
      <c r="G29" s="148">
        <f t="shared" ref="G29:H29" si="10">+G21/F21-1</f>
        <v>1.727123911650974E-2</v>
      </c>
      <c r="H29" s="148">
        <f t="shared" si="10"/>
        <v>1.7700972504022916E-2</v>
      </c>
      <c r="I29" s="153"/>
    </row>
    <row r="30" spans="3:19" x14ac:dyDescent="0.25">
      <c r="C30" s="153" t="s">
        <v>170</v>
      </c>
      <c r="D30" s="153"/>
      <c r="E30" s="153"/>
      <c r="F30" s="148">
        <f>+F10/E10-1</f>
        <v>-0.26504805260495701</v>
      </c>
      <c r="G30" s="148">
        <f t="shared" ref="G30:H30" si="11">+G10/F10-1</f>
        <v>9.3599449415003422E-2</v>
      </c>
      <c r="H30" s="148">
        <f t="shared" si="11"/>
        <v>0.14663310258023921</v>
      </c>
      <c r="I30" s="153"/>
      <c r="K30" s="153" t="s">
        <v>167</v>
      </c>
      <c r="L30" s="153"/>
      <c r="M30" s="153"/>
      <c r="N30" s="148">
        <f>-N9/N8</f>
        <v>0.38827318366960312</v>
      </c>
      <c r="O30" s="148">
        <f t="shared" ref="O30:P30" si="12">-O9/O8</f>
        <v>0.44928771305011445</v>
      </c>
      <c r="P30" s="148">
        <f t="shared" si="12"/>
        <v>0.43848937385868408</v>
      </c>
      <c r="Q30" s="153"/>
      <c r="R30" s="153"/>
      <c r="S30" s="153"/>
    </row>
    <row r="31" spans="3:19" x14ac:dyDescent="0.25">
      <c r="I31" s="153"/>
      <c r="K31" s="153" t="s">
        <v>168</v>
      </c>
      <c r="L31" s="153"/>
      <c r="M31" s="153"/>
      <c r="N31" s="148">
        <f>+N23/N8</f>
        <v>0.3042531022070662</v>
      </c>
      <c r="O31" s="148">
        <f t="shared" ref="O31:P31" si="13">+O23/O8</f>
        <v>0.31247774103281617</v>
      </c>
      <c r="P31" s="148">
        <f t="shared" si="13"/>
        <v>6.0922463337851909E-2</v>
      </c>
      <c r="Q31" s="153"/>
      <c r="R31" s="153"/>
      <c r="S31" s="153"/>
    </row>
    <row r="32" spans="3:19" x14ac:dyDescent="0.25">
      <c r="C32" s="5" t="s">
        <v>171</v>
      </c>
      <c r="D32" s="153"/>
      <c r="E32" s="153"/>
      <c r="F32" s="153"/>
      <c r="G32" s="153"/>
      <c r="H32" s="153"/>
      <c r="I32" s="153"/>
      <c r="K32" s="153"/>
      <c r="L32" s="153"/>
      <c r="M32" s="153"/>
      <c r="N32" s="153"/>
      <c r="O32" s="153"/>
      <c r="P32" s="153"/>
      <c r="Q32" s="153"/>
      <c r="R32" s="153"/>
      <c r="S32" s="153"/>
    </row>
    <row r="33" spans="3:19" x14ac:dyDescent="0.25">
      <c r="C33" s="153" t="s">
        <v>172</v>
      </c>
      <c r="D33" s="153"/>
      <c r="E33" s="153"/>
      <c r="F33" s="153"/>
      <c r="G33" s="153"/>
      <c r="H33" s="153"/>
      <c r="I33" s="153"/>
      <c r="K33" s="153" t="s">
        <v>169</v>
      </c>
      <c r="L33" s="153"/>
      <c r="M33" s="153"/>
      <c r="N33" s="148">
        <f>+N25/M25-1</f>
        <v>0.37501438416591015</v>
      </c>
      <c r="O33" s="148">
        <f t="shared" ref="O33:P33" si="14">+O25/N25-1</f>
        <v>0.39189845756860731</v>
      </c>
      <c r="P33" s="148">
        <f t="shared" si="14"/>
        <v>0.36354313849278341</v>
      </c>
      <c r="Q33" s="153"/>
      <c r="R33" s="153"/>
      <c r="S33" s="153"/>
    </row>
    <row r="34" spans="3:19" x14ac:dyDescent="0.25">
      <c r="C34" s="153" t="s">
        <v>173</v>
      </c>
      <c r="D34" s="153"/>
      <c r="E34" s="153"/>
      <c r="F34" s="153"/>
      <c r="G34" s="153"/>
      <c r="H34" s="153"/>
      <c r="I34" s="153"/>
      <c r="K34" s="153" t="s">
        <v>170</v>
      </c>
      <c r="L34" s="153"/>
      <c r="M34" s="153"/>
      <c r="N34" s="148">
        <f>+N10/M10-1</f>
        <v>5.6015844620495781</v>
      </c>
      <c r="O34" s="148">
        <f t="shared" ref="O34:P34" si="15">+O10/N10-1</f>
        <v>0.67609941158253339</v>
      </c>
      <c r="P34" s="148">
        <f t="shared" si="15"/>
        <v>0.15760907222209375</v>
      </c>
      <c r="Q34" s="153"/>
      <c r="R34" s="153"/>
      <c r="S34" s="153"/>
    </row>
    <row r="35" spans="3:19" x14ac:dyDescent="0.25">
      <c r="C35" s="153" t="s">
        <v>174</v>
      </c>
      <c r="D35" s="153"/>
      <c r="E35" s="153"/>
      <c r="F35" s="153"/>
      <c r="G35" s="153"/>
      <c r="H35" s="153"/>
      <c r="I35" s="153"/>
      <c r="K35" s="153"/>
      <c r="L35" s="153"/>
      <c r="M35" s="153"/>
      <c r="N35" s="153"/>
      <c r="O35" s="153"/>
      <c r="P35" s="153"/>
      <c r="Q35" s="153"/>
      <c r="R35" s="153"/>
      <c r="S35" s="153"/>
    </row>
    <row r="36" spans="3:19" x14ac:dyDescent="0.25">
      <c r="C36" s="153"/>
      <c r="D36" s="153"/>
      <c r="E36" s="153"/>
      <c r="F36" s="153"/>
      <c r="G36" s="153"/>
      <c r="H36" s="153"/>
      <c r="I36" s="153"/>
      <c r="K36" s="5" t="s">
        <v>178</v>
      </c>
      <c r="L36" s="153"/>
      <c r="M36" s="153"/>
      <c r="N36" s="153"/>
      <c r="O36" s="153"/>
      <c r="P36" s="153"/>
      <c r="Q36" s="153"/>
      <c r="R36" s="153"/>
      <c r="S36" s="153"/>
    </row>
    <row r="37" spans="3:19" x14ac:dyDescent="0.25">
      <c r="C37" s="153" t="s">
        <v>175</v>
      </c>
      <c r="D37" s="153"/>
      <c r="E37" s="153"/>
      <c r="F37" s="153"/>
      <c r="G37" s="153"/>
      <c r="H37" s="153"/>
      <c r="I37" s="153"/>
      <c r="K37" s="153" t="s">
        <v>179</v>
      </c>
      <c r="L37" s="153"/>
      <c r="M37" s="153"/>
      <c r="N37" s="153"/>
      <c r="O37" s="153"/>
      <c r="P37" s="153"/>
      <c r="Q37" s="153"/>
      <c r="R37" s="153"/>
      <c r="S37" s="153"/>
    </row>
    <row r="38" spans="3:19" x14ac:dyDescent="0.25">
      <c r="C38" s="153" t="s">
        <v>176</v>
      </c>
      <c r="D38" s="153"/>
      <c r="E38" s="153"/>
      <c r="F38" s="153"/>
      <c r="G38" s="153"/>
      <c r="H38" s="153"/>
      <c r="I38" s="153"/>
      <c r="K38" s="153"/>
      <c r="L38" s="153"/>
      <c r="M38" s="153"/>
      <c r="N38" s="153"/>
      <c r="O38" s="153"/>
      <c r="P38" s="153"/>
      <c r="Q38" s="153"/>
      <c r="R38" s="153"/>
      <c r="S38" s="153"/>
    </row>
    <row r="39" spans="3:19" x14ac:dyDescent="0.25">
      <c r="C39" s="153" t="s">
        <v>177</v>
      </c>
      <c r="D39" s="153"/>
      <c r="E39" s="153"/>
      <c r="F39" s="153"/>
      <c r="G39" s="153"/>
      <c r="H39" s="153"/>
      <c r="I39" s="153"/>
      <c r="K39" s="153" t="s">
        <v>180</v>
      </c>
      <c r="L39" s="153"/>
      <c r="M39" s="153"/>
      <c r="N39" s="153"/>
      <c r="O39" s="153"/>
      <c r="P39" s="153"/>
      <c r="Q39" s="153"/>
      <c r="R39" s="153"/>
      <c r="S39" s="153"/>
    </row>
    <row r="40" spans="3:19" x14ac:dyDescent="0.25">
      <c r="C40" s="153"/>
      <c r="D40" s="153"/>
      <c r="E40" s="153"/>
      <c r="F40" s="153"/>
      <c r="G40" s="153"/>
      <c r="H40" s="153"/>
      <c r="I40" s="153"/>
      <c r="K40" s="153" t="s">
        <v>181</v>
      </c>
      <c r="L40" s="153"/>
      <c r="M40" s="153"/>
      <c r="N40" s="153"/>
      <c r="O40" s="153"/>
      <c r="P40" s="153"/>
      <c r="Q40" s="153"/>
      <c r="R40" s="153"/>
      <c r="S40" s="153"/>
    </row>
    <row r="41" spans="3:19" x14ac:dyDescent="0.25">
      <c r="C41" s="148"/>
      <c r="K41" s="153"/>
      <c r="L41" s="153"/>
      <c r="M41" s="153"/>
      <c r="N41" s="153"/>
      <c r="O41" s="153"/>
      <c r="P41" s="153"/>
      <c r="Q41" s="153"/>
      <c r="R41" s="153"/>
      <c r="S41" s="153"/>
    </row>
    <row r="42" spans="3:19" x14ac:dyDescent="0.25">
      <c r="K42" s="153" t="s">
        <v>182</v>
      </c>
      <c r="L42" s="153"/>
      <c r="M42" s="153"/>
      <c r="N42" s="153"/>
      <c r="O42" s="153"/>
      <c r="P42" s="153"/>
      <c r="Q42" s="153"/>
      <c r="R42" s="153"/>
      <c r="S42" s="153"/>
    </row>
    <row r="43" spans="3:19" x14ac:dyDescent="0.25">
      <c r="K43" s="153" t="s">
        <v>183</v>
      </c>
      <c r="L43" s="153"/>
      <c r="M43" s="153"/>
      <c r="N43" s="153"/>
      <c r="O43" s="153"/>
      <c r="P43" s="153"/>
      <c r="Q43" s="153"/>
      <c r="R43" s="153"/>
      <c r="S43" s="153"/>
    </row>
    <row r="44" spans="3:19" x14ac:dyDescent="0.25">
      <c r="K44" s="153" t="s">
        <v>184</v>
      </c>
      <c r="L44" s="153"/>
      <c r="M44" s="153"/>
      <c r="N44" s="153"/>
      <c r="O44" s="153"/>
      <c r="P44" s="153"/>
      <c r="Q44" s="153"/>
      <c r="R44" s="153"/>
      <c r="S44" s="153"/>
    </row>
    <row r="45" spans="3:19" x14ac:dyDescent="0.25">
      <c r="K45" s="153"/>
      <c r="L45" s="153"/>
      <c r="M45" s="153"/>
      <c r="N45" s="153"/>
      <c r="O45" s="153"/>
      <c r="P45" s="153"/>
      <c r="Q45" s="153"/>
      <c r="R45" s="153"/>
      <c r="S45" s="153"/>
    </row>
    <row r="46" spans="3:19" x14ac:dyDescent="0.25">
      <c r="K46" s="153"/>
      <c r="L46" s="153"/>
      <c r="M46" s="153"/>
      <c r="N46" s="159"/>
      <c r="O46" s="153"/>
      <c r="P46" s="153"/>
      <c r="Q46" s="153"/>
      <c r="R46" s="153"/>
      <c r="S46" s="153"/>
    </row>
  </sheetData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TGT_Model</vt:lpstr>
      <vt:lpstr>FCF_Examples</vt:lpstr>
      <vt:lpstr>Company_Name</vt:lpstr>
      <vt:lpstr>Hist_Yr</vt:lpstr>
      <vt:lpstr>FCF_Examples!Print_Area</vt:lpstr>
      <vt:lpstr>TGT_Model!Print_Area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Brian DeChesare</cp:lastModifiedBy>
  <dcterms:created xsi:type="dcterms:W3CDTF">2016-08-02T00:46:07Z</dcterms:created>
  <dcterms:modified xsi:type="dcterms:W3CDTF">2020-06-10T22:36:10Z</dcterms:modified>
</cp:coreProperties>
</file>