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autoCompressPictures="0"/>
  <mc:AlternateContent xmlns:mc="http://schemas.openxmlformats.org/markup-compatibility/2006">
    <mc:Choice Requires="x15">
      <x15ac:absPath xmlns:x15ac="http://schemas.microsoft.com/office/spreadsheetml/2010/11/ac" url="D:\Dropbox (BIWS)\BIWS-All-Courses\40-Interview-Guide-2017-Edition\IBIG-06-Case-Study-Exercises\IBIG-06-01-Three-Statements-30-Minutes\"/>
    </mc:Choice>
  </mc:AlternateContent>
  <bookViews>
    <workbookView xWindow="0" yWindow="0" windowWidth="29820" windowHeight="25365"/>
  </bookViews>
  <sheets>
    <sheet name="ITW-3-Statements" sheetId="1" r:id="rId1"/>
  </sheets>
  <definedNames>
    <definedName name="Cash_Interest_Rate">'ITW-3-Statements'!$D$41</definedName>
    <definedName name="Company_Name">'ITW-3-Statements'!$D$33</definedName>
    <definedName name="Debt_Interest_Rate">'ITW-3-Statements'!$D$40</definedName>
    <definedName name="GM_Improv">'ITW-3-Statements'!$D$38</definedName>
    <definedName name="Hist_Yr">'ITW-3-Statements'!$D$36</definedName>
    <definedName name="_xlnm.Print_Area" localSheetId="0">'ITW-3-Statements'!$A$1:$M$202</definedName>
    <definedName name="Share_Price">'ITW-3-Statements'!$D$35</definedName>
    <definedName name="Tax_Rate">'ITW-3-Statements'!$D$39</definedName>
  </definedNames>
  <calcPr calcId="162913" calcMode="autoNoTable" iterate="1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J96" i="1"/>
  <c r="K96" i="1" s="1"/>
  <c r="I98" i="1"/>
  <c r="I100" i="1" s="1"/>
  <c r="I103" i="1"/>
  <c r="I106" i="1" s="1"/>
  <c r="I104" i="1"/>
  <c r="J104" i="1"/>
  <c r="K104" i="1"/>
  <c r="L104" i="1"/>
  <c r="I105" i="1"/>
  <c r="J105" i="1"/>
  <c r="K105" i="1"/>
  <c r="L105" i="1"/>
  <c r="I112" i="1"/>
  <c r="I114" i="1" s="1"/>
  <c r="J112" i="1"/>
  <c r="K112" i="1"/>
  <c r="L112" i="1"/>
  <c r="I113" i="1"/>
  <c r="I120" i="1"/>
  <c r="J120" i="1"/>
  <c r="K120" i="1"/>
  <c r="L120" i="1"/>
  <c r="H59" i="1"/>
  <c r="I59" i="1"/>
  <c r="J59" i="1"/>
  <c r="K59" i="1"/>
  <c r="L59" i="1"/>
  <c r="L96" i="1" l="1"/>
  <c r="K103" i="1"/>
  <c r="K106" i="1" s="1"/>
  <c r="K98" i="1"/>
  <c r="K100" i="1" s="1"/>
  <c r="K108" i="1" s="1"/>
  <c r="I108" i="1"/>
  <c r="J103" i="1"/>
  <c r="J106" i="1" s="1"/>
  <c r="J98" i="1"/>
  <c r="J100" i="1" s="1"/>
  <c r="J108" i="1" s="1"/>
  <c r="K109" i="1" l="1"/>
  <c r="J109" i="1"/>
  <c r="I109" i="1"/>
  <c r="I116" i="1"/>
  <c r="L98" i="1"/>
  <c r="L100" i="1" s="1"/>
  <c r="L108" i="1" s="1"/>
  <c r="L103" i="1"/>
  <c r="L106" i="1" s="1"/>
  <c r="L109" i="1" l="1"/>
  <c r="I117" i="1"/>
  <c r="I118" i="1" s="1"/>
  <c r="I122" i="1" s="1"/>
  <c r="H192" i="1" l="1"/>
  <c r="I192" i="1"/>
  <c r="J192" i="1"/>
  <c r="K192" i="1"/>
  <c r="L192" i="1"/>
  <c r="I151" i="1"/>
  <c r="J151" i="1"/>
  <c r="K151" i="1" s="1"/>
  <c r="H151" i="1"/>
  <c r="I186" i="1"/>
  <c r="J186" i="1"/>
  <c r="K186" i="1"/>
  <c r="L186" i="1"/>
  <c r="H186" i="1"/>
  <c r="H200" i="1"/>
  <c r="H197" i="1"/>
  <c r="I193" i="1"/>
  <c r="J193" i="1"/>
  <c r="K193" i="1"/>
  <c r="L193" i="1"/>
  <c r="I194" i="1"/>
  <c r="J194" i="1"/>
  <c r="K194" i="1"/>
  <c r="L194" i="1"/>
  <c r="H194" i="1"/>
  <c r="H193" i="1"/>
  <c r="I187" i="1"/>
  <c r="I188" i="1" s="1"/>
  <c r="J187" i="1"/>
  <c r="K187" i="1"/>
  <c r="K188" i="1" s="1"/>
  <c r="L187" i="1"/>
  <c r="L188" i="1"/>
  <c r="H188" i="1"/>
  <c r="H187" i="1"/>
  <c r="I171" i="1"/>
  <c r="J171" i="1"/>
  <c r="K171" i="1"/>
  <c r="L171" i="1"/>
  <c r="I172" i="1"/>
  <c r="J172" i="1"/>
  <c r="K172" i="1"/>
  <c r="L172" i="1"/>
  <c r="I175" i="1"/>
  <c r="J175" i="1"/>
  <c r="K175" i="1"/>
  <c r="L175" i="1"/>
  <c r="H175" i="1"/>
  <c r="H174" i="1"/>
  <c r="H172" i="1"/>
  <c r="H137" i="1" s="1"/>
  <c r="H171" i="1"/>
  <c r="H136" i="1" s="1"/>
  <c r="H170" i="1"/>
  <c r="H135" i="1" s="1"/>
  <c r="H138" i="1"/>
  <c r="H129" i="1"/>
  <c r="H177" i="1" s="1"/>
  <c r="J138" i="1"/>
  <c r="H120" i="1"/>
  <c r="H105" i="1"/>
  <c r="H104" i="1"/>
  <c r="H103" i="1"/>
  <c r="H153" i="1" s="1"/>
  <c r="H96" i="1"/>
  <c r="H91" i="1"/>
  <c r="I91" i="1" s="1"/>
  <c r="J91" i="1" s="1"/>
  <c r="K91" i="1" s="1"/>
  <c r="L91" i="1" s="1"/>
  <c r="I83" i="1"/>
  <c r="J83" i="1" s="1"/>
  <c r="K83" i="1" s="1"/>
  <c r="L83" i="1" s="1"/>
  <c r="H83" i="1"/>
  <c r="J82" i="1"/>
  <c r="K82" i="1" s="1"/>
  <c r="L82" i="1" s="1"/>
  <c r="I82" i="1"/>
  <c r="H82" i="1"/>
  <c r="J80" i="1"/>
  <c r="K80" i="1"/>
  <c r="L80" i="1" s="1"/>
  <c r="I80" i="1"/>
  <c r="H80" i="1"/>
  <c r="F91" i="1"/>
  <c r="G91" i="1"/>
  <c r="E91" i="1"/>
  <c r="F83" i="1"/>
  <c r="G83" i="1"/>
  <c r="E83" i="1"/>
  <c r="F82" i="1"/>
  <c r="G82" i="1"/>
  <c r="E82" i="1"/>
  <c r="F80" i="1"/>
  <c r="G80" i="1"/>
  <c r="E80" i="1"/>
  <c r="F78" i="1"/>
  <c r="G78" i="1"/>
  <c r="E78" i="1"/>
  <c r="J74" i="1"/>
  <c r="K74" i="1" s="1"/>
  <c r="L74" i="1" s="1"/>
  <c r="I74" i="1"/>
  <c r="H74" i="1"/>
  <c r="J71" i="1"/>
  <c r="K71" i="1" s="1"/>
  <c r="L71" i="1" s="1"/>
  <c r="I71" i="1"/>
  <c r="H71" i="1"/>
  <c r="J70" i="1"/>
  <c r="K70" i="1" s="1"/>
  <c r="L70" i="1" s="1"/>
  <c r="I70" i="1"/>
  <c r="H70" i="1"/>
  <c r="J65" i="1"/>
  <c r="K65" i="1" s="1"/>
  <c r="L65" i="1" s="1"/>
  <c r="I65" i="1"/>
  <c r="H65" i="1"/>
  <c r="F69" i="1"/>
  <c r="G69" i="1"/>
  <c r="F70" i="1"/>
  <c r="G70" i="1"/>
  <c r="F71" i="1"/>
  <c r="G71" i="1"/>
  <c r="F73" i="1"/>
  <c r="G73" i="1"/>
  <c r="F74" i="1"/>
  <c r="G74" i="1"/>
  <c r="E74" i="1"/>
  <c r="E73" i="1"/>
  <c r="E71" i="1"/>
  <c r="E70" i="1"/>
  <c r="E69" i="1"/>
  <c r="F66" i="1"/>
  <c r="G66" i="1"/>
  <c r="F67" i="1"/>
  <c r="G67" i="1"/>
  <c r="E67" i="1"/>
  <c r="E66" i="1"/>
  <c r="F65" i="1"/>
  <c r="G65" i="1"/>
  <c r="E65" i="1"/>
  <c r="H60" i="1"/>
  <c r="H113" i="1" s="1"/>
  <c r="H112" i="1"/>
  <c r="J55" i="1"/>
  <c r="J57" i="1" s="1"/>
  <c r="K55" i="1" s="1"/>
  <c r="K57" i="1" s="1"/>
  <c r="L55" i="1" s="1"/>
  <c r="L57" i="1" s="1"/>
  <c r="J56" i="1"/>
  <c r="K56" i="1"/>
  <c r="L56" i="1"/>
  <c r="I56" i="1"/>
  <c r="I57" i="1" s="1"/>
  <c r="I55" i="1"/>
  <c r="H57" i="1"/>
  <c r="H56" i="1"/>
  <c r="H55" i="1"/>
  <c r="H47" i="1"/>
  <c r="H98" i="1" s="1"/>
  <c r="F47" i="1"/>
  <c r="G47" i="1"/>
  <c r="E47" i="1"/>
  <c r="H131" i="1" l="1"/>
  <c r="H179" i="1" s="1"/>
  <c r="H139" i="1"/>
  <c r="I137" i="1"/>
  <c r="J137" i="1" s="1"/>
  <c r="K137" i="1" s="1"/>
  <c r="L137" i="1" s="1"/>
  <c r="I136" i="1"/>
  <c r="H146" i="1"/>
  <c r="H181" i="1" s="1"/>
  <c r="H106" i="1"/>
  <c r="H147" i="1"/>
  <c r="H182" i="1" s="1"/>
  <c r="J136" i="1"/>
  <c r="K136" i="1" s="1"/>
  <c r="L136" i="1" s="1"/>
  <c r="I47" i="1"/>
  <c r="J47" i="1" s="1"/>
  <c r="K47" i="1" s="1"/>
  <c r="L47" i="1" s="1"/>
  <c r="H114" i="1"/>
  <c r="H130" i="1"/>
  <c r="H178" i="1" s="1"/>
  <c r="H145" i="1"/>
  <c r="H100" i="1"/>
  <c r="J174" i="1"/>
  <c r="I174" i="1"/>
  <c r="J197" i="1"/>
  <c r="J170" i="1"/>
  <c r="I170" i="1"/>
  <c r="I135" i="1" s="1"/>
  <c r="J129" i="1"/>
  <c r="I129" i="1"/>
  <c r="I197" i="1"/>
  <c r="I138" i="1"/>
  <c r="L151" i="1"/>
  <c r="J188" i="1"/>
  <c r="J135" i="1" l="1"/>
  <c r="J139" i="1"/>
  <c r="H108" i="1"/>
  <c r="H116" i="1"/>
  <c r="H109" i="1"/>
  <c r="H180" i="1"/>
  <c r="H148" i="1"/>
  <c r="I139" i="1"/>
  <c r="K170" i="1"/>
  <c r="K135" i="1" s="1"/>
  <c r="K138" i="1"/>
  <c r="K174" i="1"/>
  <c r="K197" i="1"/>
  <c r="K129" i="1"/>
  <c r="I177" i="1"/>
  <c r="J177" i="1"/>
  <c r="I153" i="1"/>
  <c r="I146" i="1"/>
  <c r="I181" i="1" s="1"/>
  <c r="I147" i="1"/>
  <c r="I131" i="1"/>
  <c r="J130" i="1"/>
  <c r="J145" i="1"/>
  <c r="J146" i="1"/>
  <c r="J153" i="1"/>
  <c r="J131" i="1"/>
  <c r="J147" i="1"/>
  <c r="I145" i="1" l="1"/>
  <c r="J180" i="1" s="1"/>
  <c r="I130" i="1"/>
  <c r="J178" i="1" s="1"/>
  <c r="H117" i="1"/>
  <c r="H173" i="1" s="1"/>
  <c r="H152" i="1" s="1"/>
  <c r="H154" i="1" s="1"/>
  <c r="H156" i="1" s="1"/>
  <c r="I182" i="1"/>
  <c r="J181" i="1"/>
  <c r="J182" i="1"/>
  <c r="I179" i="1"/>
  <c r="J179" i="1"/>
  <c r="J148" i="1"/>
  <c r="K139" i="1"/>
  <c r="K130" i="1"/>
  <c r="K145" i="1"/>
  <c r="I148" i="1"/>
  <c r="I180" i="1"/>
  <c r="L197" i="1"/>
  <c r="L129" i="1"/>
  <c r="L177" i="1" s="1"/>
  <c r="L170" i="1"/>
  <c r="L135" i="1" s="1"/>
  <c r="L138" i="1"/>
  <c r="L174" i="1"/>
  <c r="K177" i="1"/>
  <c r="K153" i="1"/>
  <c r="K146" i="1"/>
  <c r="K181" i="1" s="1"/>
  <c r="K147" i="1"/>
  <c r="K131" i="1"/>
  <c r="K179" i="1" s="1"/>
  <c r="I178" i="1" l="1"/>
  <c r="L139" i="1"/>
  <c r="H118" i="1"/>
  <c r="H122" i="1" s="1"/>
  <c r="H191" i="1" s="1"/>
  <c r="H195" i="1" s="1"/>
  <c r="K182" i="1"/>
  <c r="K180" i="1"/>
  <c r="K148" i="1"/>
  <c r="L147" i="1"/>
  <c r="L131" i="1"/>
  <c r="L179" i="1" s="1"/>
  <c r="L153" i="1"/>
  <c r="L146" i="1"/>
  <c r="L145" i="1"/>
  <c r="L180" i="1" s="1"/>
  <c r="L130" i="1"/>
  <c r="L178" i="1" s="1"/>
  <c r="K178" i="1"/>
  <c r="H168" i="1" l="1"/>
  <c r="H158" i="1" s="1"/>
  <c r="H160" i="1" s="1"/>
  <c r="L148" i="1"/>
  <c r="L181" i="1"/>
  <c r="L182" i="1"/>
  <c r="H183" i="1" l="1"/>
  <c r="H199" i="1" s="1"/>
  <c r="H201" i="1" s="1"/>
  <c r="I200" i="1" s="1"/>
  <c r="H128" i="1" l="1"/>
  <c r="I60" i="1" s="1"/>
  <c r="H132" i="1" l="1"/>
  <c r="H141" i="1" s="1"/>
  <c r="H162" i="1" s="1"/>
  <c r="I173" i="1"/>
  <c r="I152" i="1" s="1"/>
  <c r="I154" i="1" s="1"/>
  <c r="I156" i="1" s="1"/>
  <c r="I168" i="1" l="1"/>
  <c r="I191" i="1"/>
  <c r="I195" i="1" s="1"/>
  <c r="I183" i="1" l="1"/>
  <c r="I199" i="1" s="1"/>
  <c r="I201" i="1" s="1"/>
  <c r="I158" i="1"/>
  <c r="I160" i="1" s="1"/>
  <c r="I128" i="1" l="1"/>
  <c r="J200" i="1"/>
  <c r="J60" i="1" l="1"/>
  <c r="J113" i="1" s="1"/>
  <c r="J114" i="1" s="1"/>
  <c r="J116" i="1" s="1"/>
  <c r="I132" i="1"/>
  <c r="I141" i="1" s="1"/>
  <c r="I162" i="1" s="1"/>
  <c r="J118" i="1" l="1"/>
  <c r="J122" i="1" s="1"/>
  <c r="J117" i="1"/>
  <c r="J173" i="1"/>
  <c r="J152" i="1" s="1"/>
  <c r="J154" i="1" s="1"/>
  <c r="J156" i="1" s="1"/>
  <c r="J191" i="1" l="1"/>
  <c r="J195" i="1" s="1"/>
  <c r="J199" i="1" s="1"/>
  <c r="J201" i="1" s="1"/>
  <c r="K200" i="1" s="1"/>
  <c r="J168" i="1"/>
  <c r="J183" i="1" s="1"/>
  <c r="J158" i="1"/>
  <c r="J160" i="1" s="1"/>
  <c r="J128" i="1" l="1"/>
  <c r="K60" i="1" s="1"/>
  <c r="K113" i="1" s="1"/>
  <c r="K114" i="1" s="1"/>
  <c r="K116" i="1" s="1"/>
  <c r="K117" i="1" l="1"/>
  <c r="K118" i="1" s="1"/>
  <c r="K122" i="1" s="1"/>
  <c r="J132" i="1"/>
  <c r="J141" i="1" s="1"/>
  <c r="J162" i="1" s="1"/>
  <c r="K173" i="1"/>
  <c r="K152" i="1" s="1"/>
  <c r="K154" i="1" s="1"/>
  <c r="K156" i="1" s="1"/>
  <c r="K191" i="1" l="1"/>
  <c r="K195" i="1" s="1"/>
  <c r="K168" i="1"/>
  <c r="K183" i="1"/>
  <c r="K199" i="1" l="1"/>
  <c r="K201" i="1" s="1"/>
  <c r="L200" i="1" s="1"/>
  <c r="K158" i="1"/>
  <c r="K160" i="1" s="1"/>
  <c r="K128" i="1" l="1"/>
  <c r="K132" i="1" s="1"/>
  <c r="K141" i="1" s="1"/>
  <c r="K162" i="1" s="1"/>
  <c r="L60" i="1" l="1"/>
  <c r="L113" i="1" s="1"/>
  <c r="L114" i="1" s="1"/>
  <c r="L116" i="1" s="1"/>
  <c r="L117" i="1" l="1"/>
  <c r="L173" i="1" s="1"/>
  <c r="L152" i="1" s="1"/>
  <c r="L154" i="1" s="1"/>
  <c r="L156" i="1" s="1"/>
  <c r="L118" i="1" l="1"/>
  <c r="L122" i="1" s="1"/>
  <c r="L168" i="1" l="1"/>
  <c r="L191" i="1"/>
  <c r="L195" i="1" s="1"/>
  <c r="D165" i="1"/>
  <c r="H164" i="1"/>
  <c r="E164" i="1"/>
  <c r="D125" i="1"/>
  <c r="H124" i="1"/>
  <c r="E124" i="1"/>
  <c r="D94" i="1"/>
  <c r="E93" i="1"/>
  <c r="H93" i="1"/>
  <c r="I85" i="1"/>
  <c r="L183" i="1" l="1"/>
  <c r="L199" i="1" s="1"/>
  <c r="L201" i="1" s="1"/>
  <c r="L128" i="1" s="1"/>
  <c r="L132" i="1" s="1"/>
  <c r="L141" i="1" s="1"/>
  <c r="L158" i="1"/>
  <c r="L160" i="1" s="1"/>
  <c r="J85" i="1"/>
  <c r="L162" i="1" l="1"/>
  <c r="K85" i="1"/>
  <c r="L85" i="1" l="1"/>
  <c r="G44" i="1" l="1"/>
  <c r="H44" i="1" l="1"/>
  <c r="G125" i="1"/>
  <c r="G94" i="1"/>
  <c r="G165" i="1"/>
  <c r="F44" i="1"/>
  <c r="I44" i="1" l="1"/>
  <c r="H125" i="1"/>
  <c r="H94" i="1"/>
  <c r="H165" i="1"/>
  <c r="E44" i="1"/>
  <c r="F125" i="1"/>
  <c r="F94" i="1"/>
  <c r="F165" i="1"/>
  <c r="J44" i="1" l="1"/>
  <c r="I94" i="1"/>
  <c r="I165" i="1"/>
  <c r="I125" i="1"/>
  <c r="E165" i="1"/>
  <c r="E125" i="1"/>
  <c r="E94" i="1"/>
  <c r="F85" i="1"/>
  <c r="E85" i="1"/>
  <c r="K44" i="1" l="1"/>
  <c r="J125" i="1"/>
  <c r="J165" i="1"/>
  <c r="J94" i="1"/>
  <c r="G85" i="1"/>
  <c r="L44" i="1" l="1"/>
  <c r="K94" i="1"/>
  <c r="K165" i="1"/>
  <c r="K125" i="1"/>
  <c r="L165" i="1" l="1"/>
  <c r="L125" i="1"/>
  <c r="L94" i="1"/>
  <c r="E162" i="1"/>
  <c r="G162" i="1" l="1"/>
  <c r="F162" i="1"/>
  <c r="B2" i="1"/>
</calcChain>
</file>

<file path=xl/sharedStrings.xml><?xml version="1.0" encoding="utf-8"?>
<sst xmlns="http://schemas.openxmlformats.org/spreadsheetml/2006/main" count="284" uniqueCount="179">
  <si>
    <t>General Assumptions:</t>
  </si>
  <si>
    <t>Company Name:</t>
  </si>
  <si>
    <t>Ticker:</t>
  </si>
  <si>
    <t>Last Historical Year:</t>
  </si>
  <si>
    <t>($ in Millions Except Per Share and Per Unit Data)</t>
  </si>
  <si>
    <t>Historical</t>
  </si>
  <si>
    <t>Projected</t>
  </si>
  <si>
    <t>Income Statement:</t>
  </si>
  <si>
    <t>Gross Profit:</t>
  </si>
  <si>
    <t>Net Income:</t>
  </si>
  <si>
    <t>Balance Sheet:</t>
  </si>
  <si>
    <t>Cash &amp; Equivalents:</t>
  </si>
  <si>
    <t>Inventory:</t>
  </si>
  <si>
    <t>Total Current Assets:</t>
  </si>
  <si>
    <t>Other Long-Term Assets:</t>
  </si>
  <si>
    <t>Total Assets:</t>
  </si>
  <si>
    <t>Accounts Payable:</t>
  </si>
  <si>
    <t>Total Current Liabilities:</t>
  </si>
  <si>
    <t>Other Long-Term Liabilities:</t>
  </si>
  <si>
    <t>Total Liabilities:</t>
  </si>
  <si>
    <t>Cash Flow Statement:</t>
  </si>
  <si>
    <t>ITW</t>
  </si>
  <si>
    <t>Amortization of Intangible Assets:</t>
  </si>
  <si>
    <t>Interest Expense:</t>
  </si>
  <si>
    <t>Income from Continuing Operations:</t>
  </si>
  <si>
    <t>Income from Discontinued Operations:</t>
  </si>
  <si>
    <t>Goodwill:</t>
  </si>
  <si>
    <t>Accrued Expenses:</t>
  </si>
  <si>
    <t>Gross Margin:</t>
  </si>
  <si>
    <t>Revenue Growth:</t>
  </si>
  <si>
    <t>Total Revenue:</t>
  </si>
  <si>
    <t>Operating Income (EBIT):</t>
  </si>
  <si>
    <t>Operating (EBIT) Margin:</t>
  </si>
  <si>
    <t>Other Income / (Expense):</t>
  </si>
  <si>
    <t>Total Other Income / (Expense):</t>
  </si>
  <si>
    <t>Pre-Tax Income:</t>
  </si>
  <si>
    <t>ASSETS:</t>
  </si>
  <si>
    <t>Current Assets:</t>
  </si>
  <si>
    <t>Non-Current Assets:</t>
  </si>
  <si>
    <t>Total Non-Current Assets:</t>
  </si>
  <si>
    <t>LIABILITIES AND EQUITY:</t>
  </si>
  <si>
    <t>Current Liabilities:</t>
  </si>
  <si>
    <t>Non-Current Liabilities:</t>
  </si>
  <si>
    <t>Equity:</t>
  </si>
  <si>
    <t>Balance Check:</t>
  </si>
  <si>
    <t>CASH FLOWS FROM OPERATING ACTIVITIES:</t>
  </si>
  <si>
    <t/>
  </si>
  <si>
    <t>Adjustments for Non-Cash Charges:</t>
  </si>
  <si>
    <t>(+) Depreciation:</t>
  </si>
  <si>
    <t>(+) Stock-Based Compensation:</t>
  </si>
  <si>
    <t>Changes in Operating Assets and Liabilities:</t>
  </si>
  <si>
    <t>Net Cash Provided by Operating Activities:</t>
  </si>
  <si>
    <t>CASH FLOWS FROM INVESTING ACTIVITIES:</t>
  </si>
  <si>
    <t>Net Cash Used in Investing Activities:</t>
  </si>
  <si>
    <t>CASH FLOWS FROM FINANCING ACTIVITIES:</t>
  </si>
  <si>
    <t>Net Cash Provided by Financing Activities:</t>
  </si>
  <si>
    <t>Beginning Cash:</t>
  </si>
  <si>
    <t>Ending Cash:</t>
  </si>
  <si>
    <t>Financial Statement Drivers:</t>
  </si>
  <si>
    <t>Income Statement Drivers:</t>
  </si>
  <si>
    <t>Balance Sheet Drivers:</t>
  </si>
  <si>
    <t>Cash Flow Statement Drivers:</t>
  </si>
  <si>
    <t>Units:</t>
  </si>
  <si>
    <t>%</t>
  </si>
  <si>
    <t>(-) Interest Expense:</t>
  </si>
  <si>
    <t>Effective Tax Rate:</t>
  </si>
  <si>
    <t>Current Share Price:</t>
  </si>
  <si>
    <t>Cost of Goods Sold (COGS):</t>
  </si>
  <si>
    <t>Other Liabilities:</t>
  </si>
  <si>
    <t>Long-Term Debt:</t>
  </si>
  <si>
    <t>Total Liabilities &amp; Equity:</t>
  </si>
  <si>
    <t>(-) Dividends Paid:</t>
  </si>
  <si>
    <t>(+/-) Other Non-Cash Items:</t>
  </si>
  <si>
    <t>Impairment of Goodwill:</t>
  </si>
  <si>
    <t>Accounts Receivable:</t>
  </si>
  <si>
    <t>Deferred Tax Liability:</t>
  </si>
  <si>
    <t>(-) Provision For Income Taxes:</t>
  </si>
  <si>
    <t>Annual Gross Margin Improvement:</t>
  </si>
  <si>
    <t>Operating Expenses:</t>
  </si>
  <si>
    <t>Total Operating Expenses:</t>
  </si>
  <si>
    <t>SG&amp;A % Revenue:</t>
  </si>
  <si>
    <t>$ M</t>
  </si>
  <si>
    <t>Interest Rate on Debt:</t>
  </si>
  <si>
    <t>Amortization of Debt:</t>
  </si>
  <si>
    <t>Capital Expenditures:</t>
  </si>
  <si>
    <t>Stock Repurchases:</t>
  </si>
  <si>
    <t>(-) Stock Repurchases:</t>
  </si>
  <si>
    <t>Beginning Debt Balance:</t>
  </si>
  <si>
    <t>Net PP&amp;E:</t>
  </si>
  <si>
    <t>Other Intangible Assets:</t>
  </si>
  <si>
    <t>(-) Amortization:</t>
  </si>
  <si>
    <t>Ending Debt Balance:</t>
  </si>
  <si>
    <t>(+) Debt Issuances / (-) Repayments:</t>
  </si>
  <si>
    <t>Interest Income:</t>
  </si>
  <si>
    <t>Interest Rate on Cash:</t>
  </si>
  <si>
    <t>(+) Impairment of Goodwill:</t>
  </si>
  <si>
    <t>(+) Amortization of Other Intangibles:</t>
  </si>
  <si>
    <t>(+) Selling, General &amp; Administrative:</t>
  </si>
  <si>
    <t>(+) Amortization of Intangible Assets:</t>
  </si>
  <si>
    <t>Prepaid Expenses &amp; Other Current Assets:</t>
  </si>
  <si>
    <t>Prepaid Expenses &amp; Other Assets:</t>
  </si>
  <si>
    <t>(+) Income from Discontinued Operations:</t>
  </si>
  <si>
    <t>Dividends % Net Income:</t>
  </si>
  <si>
    <t>Depreciation % Revenue:</t>
  </si>
  <si>
    <t># Days</t>
  </si>
  <si>
    <t>Days Sales of Inventory:</t>
  </si>
  <si>
    <t>Days Sales Outstanding:</t>
  </si>
  <si>
    <t>Days Payable Outstanding:</t>
  </si>
  <si>
    <t>Other Long-Term Assets % Revenue:</t>
  </si>
  <si>
    <t>Other Current Liabilities:</t>
  </si>
  <si>
    <t>(+) Other Financing Items:</t>
  </si>
  <si>
    <t>(+/-) Other Investing Items:</t>
  </si>
  <si>
    <t>FX Rate Effects:</t>
  </si>
  <si>
    <t>Stock-Based Compensation % Revenue:</t>
  </si>
  <si>
    <t>FX Rate Effects % Revenue:</t>
  </si>
  <si>
    <t>Other Investing Items:</t>
  </si>
  <si>
    <t>Other Financing Items:</t>
  </si>
  <si>
    <t>(+/-) Deferred Taxes:</t>
  </si>
  <si>
    <t>Deferred Taxes % Taxes:</t>
  </si>
  <si>
    <t>Other Non-Cash Items:</t>
  </si>
  <si>
    <t>Change in Cash &amp; Cash Equivalents:</t>
  </si>
  <si>
    <t>(+) Interest and Other Income:</t>
  </si>
  <si>
    <t>INSTRUCTIONS:</t>
  </si>
  <si>
    <t>Illinois Tool Works Inc.</t>
  </si>
  <si>
    <t>Use the following template and assumptions to build a 3-statement projection model over 5 years for Illinois Tool Works (ITW), a global manufacturing company.</t>
  </si>
  <si>
    <t>Please clearly note any additional assumptions or modifications you make. Assume that the company's performance will be similar to its performance over</t>
  </si>
  <si>
    <r>
      <t xml:space="preserve">You have </t>
    </r>
    <r>
      <rPr>
        <b/>
        <sz val="12"/>
        <color theme="1"/>
        <rFont val="Calibri"/>
        <family val="2"/>
        <scheme val="minor"/>
      </rPr>
      <t>30 minutes</t>
    </r>
    <r>
      <rPr>
        <sz val="12"/>
        <color theme="1"/>
        <rFont val="Calibri"/>
        <family val="2"/>
        <scheme val="minor"/>
      </rPr>
      <t xml:space="preserve"> to complete as much of the model as you can.</t>
    </r>
  </si>
  <si>
    <t>Prepaid Expenses &amp; Other % SG&amp;A:</t>
  </si>
  <si>
    <t>Accrued Expenses % SG&amp;A:</t>
  </si>
  <si>
    <t>Other Current Liabilities % SG&amp;A:</t>
  </si>
  <si>
    <t>Other Long-Term Liabilities % SG&amp;A:</t>
  </si>
  <si>
    <t>the past 3 years, except where otherwise noted in the assumptions.</t>
  </si>
  <si>
    <t>1) What is the MAIN reason why the company's Cash balance changes the way it does over these 5 years?</t>
  </si>
  <si>
    <t>2) What would you recommend to company management as the best financing decision over the next several years?</t>
  </si>
  <si>
    <r>
      <t xml:space="preserve">If you have additional time remaining at the end, please write </t>
    </r>
    <r>
      <rPr>
        <b/>
        <sz val="12"/>
        <color theme="1"/>
        <rFont val="Calibri"/>
        <family val="2"/>
        <scheme val="minor"/>
      </rPr>
      <t>1-2 sentence answers</t>
    </r>
    <r>
      <rPr>
        <sz val="12"/>
        <color theme="1"/>
        <rFont val="Calibri"/>
        <family val="2"/>
        <scheme val="minor"/>
      </rPr>
      <t xml:space="preserve"> for the following case study questions:</t>
    </r>
  </si>
  <si>
    <t>3) Would it benefit this company more to focus on sales growth or margin improvement? What would you recommend to management?</t>
  </si>
  <si>
    <t>(-) Capital Expenditures:</t>
  </si>
  <si>
    <t>OVERALL STRATEGY:</t>
  </si>
  <si>
    <r>
      <t xml:space="preserve">This is a </t>
    </r>
    <r>
      <rPr>
        <b/>
        <sz val="12"/>
        <color theme="1"/>
        <rFont val="Calibri"/>
        <family val="2"/>
        <scheme val="minor"/>
      </rPr>
      <t>speed test</t>
    </r>
    <r>
      <rPr>
        <sz val="12"/>
        <color theme="1"/>
        <rFont val="Calibri"/>
        <family val="2"/>
        <scheme val="minor"/>
      </rPr>
      <t xml:space="preserve"> - do not get tripped up on small, irrelevant details!</t>
    </r>
  </si>
  <si>
    <r>
      <t xml:space="preserve">Most importantly, make sure you </t>
    </r>
    <r>
      <rPr>
        <b/>
        <sz val="12"/>
        <color theme="1"/>
        <rFont val="Calibri"/>
        <family val="2"/>
        <scheme val="minor"/>
      </rPr>
      <t>actually finish everything</t>
    </r>
    <r>
      <rPr>
        <sz val="12"/>
        <color theme="1"/>
        <rFont val="Calibri"/>
        <family val="2"/>
        <scheme val="minor"/>
      </rPr>
      <t xml:space="preserve"> without errors or blank errors… so we </t>
    </r>
  </si>
  <si>
    <t>suggest the following approach:</t>
  </si>
  <si>
    <t>Interest Income earned on cash.</t>
  </si>
  <si>
    <r>
      <t xml:space="preserve">Do </t>
    </r>
    <r>
      <rPr>
        <b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obsess over the exact percentages or other numbers to use - this is a </t>
    </r>
    <r>
      <rPr>
        <b/>
        <sz val="12"/>
        <color theme="1"/>
        <rFont val="Calibri"/>
        <family val="2"/>
        <scheme val="minor"/>
      </rPr>
      <t>speed test!</t>
    </r>
  </si>
  <si>
    <t>Don't set up rows for counting the exact # of days in the year (leap years) or anything like that… just</t>
  </si>
  <si>
    <t>use 365 or 360 and don't think about the rest!</t>
  </si>
  <si>
    <r>
      <t xml:space="preserve">1) Fill out </t>
    </r>
    <r>
      <rPr>
        <b/>
        <sz val="12"/>
        <color theme="1"/>
        <rFont val="Calibri"/>
        <family val="2"/>
        <scheme val="minor"/>
      </rPr>
      <t>all the assumptions</t>
    </r>
    <r>
      <rPr>
        <sz val="12"/>
        <color theme="1"/>
        <rFont val="Calibri"/>
        <family val="2"/>
        <scheme val="minor"/>
      </rPr>
      <t xml:space="preserve"> at the top - even the ones that will be blank for now, such as the </t>
    </r>
  </si>
  <si>
    <r>
      <t xml:space="preserve">2) Fill out the </t>
    </r>
    <r>
      <rPr>
        <b/>
        <sz val="12"/>
        <color theme="1"/>
        <rFont val="Calibri"/>
        <family val="2"/>
        <scheme val="minor"/>
      </rPr>
      <t>entire Income Statement</t>
    </r>
    <r>
      <rPr>
        <sz val="12"/>
        <color theme="1"/>
        <rFont val="Calibri"/>
        <family val="2"/>
        <scheme val="minor"/>
      </rPr>
      <t>, just to make sure you've completed everything there…</t>
    </r>
  </si>
  <si>
    <t>avoid it.</t>
  </si>
  <si>
    <r>
      <t xml:space="preserve">you do </t>
    </r>
    <r>
      <rPr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want to be jumping back and forth between different parts of this model if you can</t>
    </r>
  </si>
  <si>
    <r>
      <t xml:space="preserve">3) Fill out the </t>
    </r>
    <r>
      <rPr>
        <b/>
        <sz val="12"/>
        <color theme="1"/>
        <rFont val="Calibri"/>
        <family val="2"/>
        <scheme val="minor"/>
      </rPr>
      <t>parts of the Balance Sheet that are linked to IS numbers</t>
    </r>
    <r>
      <rPr>
        <sz val="12"/>
        <color theme="1"/>
        <rFont val="Calibri"/>
        <family val="2"/>
        <scheme val="minor"/>
      </rPr>
      <t xml:space="preserve"> - You need to get these</t>
    </r>
  </si>
  <si>
    <t>first or you can't complete the CFS. Again, just use simple estimates for the days in the year, such as</t>
  </si>
  <si>
    <t>365 or 360… don't think too hard.</t>
  </si>
  <si>
    <r>
      <t xml:space="preserve">For the BS and CFS items, use </t>
    </r>
    <r>
      <rPr>
        <b/>
        <sz val="12"/>
        <color theme="1"/>
        <rFont val="Calibri"/>
        <family val="2"/>
        <scheme val="minor"/>
      </rPr>
      <t>simple averages</t>
    </r>
    <r>
      <rPr>
        <sz val="12"/>
        <color theme="1"/>
        <rFont val="Calibri"/>
        <family val="2"/>
        <scheme val="minor"/>
      </rPr>
      <t xml:space="preserve"> if the items have bounced around, or if they've </t>
    </r>
  </si>
  <si>
    <t>followed a clear trend, keep reflecting that trend… don't even bother taking the time to check the</t>
  </si>
  <si>
    <t>Working Capital trends or make it a % of the change in revenue - no time here.</t>
  </si>
  <si>
    <r>
      <t xml:space="preserve">4) Fill out </t>
    </r>
    <r>
      <rPr>
        <b/>
        <sz val="12"/>
        <color theme="1"/>
        <rFont val="Calibri"/>
        <family val="2"/>
        <scheme val="minor"/>
      </rPr>
      <t>the entire CFS</t>
    </r>
    <r>
      <rPr>
        <sz val="12"/>
        <color theme="1"/>
        <rFont val="Calibri"/>
        <family val="2"/>
        <scheme val="minor"/>
      </rPr>
      <t xml:space="preserve"> - Items are either simple percentage or dollar-amount projections, or they</t>
    </r>
  </si>
  <si>
    <t>link to the Balance Sheet and changes in items there.</t>
  </si>
  <si>
    <r>
      <t>Rule:</t>
    </r>
    <r>
      <rPr>
        <sz val="12"/>
        <color theme="1"/>
        <rFont val="Calibri"/>
        <family val="2"/>
        <scheme val="minor"/>
      </rPr>
      <t xml:space="preserve"> To reflect changes in Assets, take the old Asset and subtract the new one… for changes in</t>
    </r>
  </si>
  <si>
    <t>Liabilities, take the new Liability and subtract the old one.</t>
  </si>
  <si>
    <r>
      <t xml:space="preserve">5) Complete </t>
    </r>
    <r>
      <rPr>
        <b/>
        <sz val="12"/>
        <color theme="1"/>
        <rFont val="Calibri"/>
        <family val="2"/>
        <scheme val="minor"/>
      </rPr>
      <t>the rest of the Balance Sheet</t>
    </r>
    <r>
      <rPr>
        <sz val="12"/>
        <color theme="1"/>
        <rFont val="Calibri"/>
        <family val="2"/>
        <scheme val="minor"/>
      </rPr>
      <t>, subtract links on the Assets side and adding links</t>
    </r>
  </si>
  <si>
    <t>on the L&amp;E side.</t>
  </si>
  <si>
    <t>Miscellaneous items - put them in Equity. Don't think too much - if an item is 0, it doesn't matter!</t>
  </si>
  <si>
    <r>
      <t xml:space="preserve">6) </t>
    </r>
    <r>
      <rPr>
        <b/>
        <sz val="12"/>
        <color theme="1"/>
        <rFont val="Calibri"/>
        <family val="2"/>
        <scheme val="minor"/>
      </rPr>
      <t>Check your work</t>
    </r>
    <r>
      <rPr>
        <sz val="12"/>
        <color theme="1"/>
        <rFont val="Calibri"/>
        <family val="2"/>
        <scheme val="minor"/>
      </rPr>
      <t xml:space="preserve"> at the end - does the BS balance? Do the growth, margin, and cash flow numbers</t>
    </r>
  </si>
  <si>
    <t>make logical sense?</t>
  </si>
  <si>
    <r>
      <t xml:space="preserve">7) Answer the </t>
    </r>
    <r>
      <rPr>
        <b/>
        <sz val="12"/>
        <color theme="1"/>
        <rFont val="Calibri"/>
        <family val="2"/>
        <scheme val="minor"/>
      </rPr>
      <t>additional questions if you have time</t>
    </r>
    <r>
      <rPr>
        <sz val="12"/>
        <color theme="1"/>
        <rFont val="Calibri"/>
        <family val="2"/>
        <scheme val="minor"/>
      </rPr>
      <t xml:space="preserve"> - Cash declines because the company keeps</t>
    </r>
  </si>
  <si>
    <t>repurchasing shares without raising additional Debt to fund those purchases, and it keeps issuing</t>
  </si>
  <si>
    <t>Dividends at the same time.</t>
  </si>
  <si>
    <t>So, management should consider either raising more Debt or cutting its stock repurchases - reducing</t>
  </si>
  <si>
    <t>Dividends is probably less of a good idea since investors likely expect them at this point.</t>
  </si>
  <si>
    <r>
      <t xml:space="preserve">Because most of this company's costs are </t>
    </r>
    <r>
      <rPr>
        <b/>
        <sz val="12"/>
        <color theme="1"/>
        <rFont val="Calibri"/>
        <family val="2"/>
        <scheme val="minor"/>
      </rPr>
      <t>variable</t>
    </r>
    <r>
      <rPr>
        <sz val="12"/>
        <color theme="1"/>
        <rFont val="Calibri"/>
        <family val="2"/>
        <scheme val="minor"/>
      </rPr>
      <t>, margin improvement would likely benefit them</t>
    </r>
  </si>
  <si>
    <t>more than revenue growth improvement - even if the company earns more revenue, relatively little</t>
  </si>
  <si>
    <t>will "trickle down" into operating income.</t>
  </si>
  <si>
    <t xml:space="preserve">Its Cash balance declines substantially because the company keeps repurchasing shares without raising any additional Debt to fund those repurchases; </t>
  </si>
  <si>
    <t>it also keeps issuing Dividends at the same time, further reducing cash flow.</t>
  </si>
  <si>
    <r>
      <t xml:space="preserve">We would recommend </t>
    </r>
    <r>
      <rPr>
        <b/>
        <sz val="12"/>
        <color theme="1"/>
        <rFont val="Calibri"/>
        <family val="2"/>
        <scheme val="minor"/>
      </rPr>
      <t>additional Debt</t>
    </r>
    <r>
      <rPr>
        <sz val="12"/>
        <color theme="1"/>
        <rFont val="Calibri"/>
        <family val="2"/>
        <scheme val="minor"/>
      </rPr>
      <t xml:space="preserve"> as the best way to boost its Cash balance - the company's borrowing costs are already very low, so Debt makes more </t>
    </r>
  </si>
  <si>
    <t>sense than Equity. Another option is to cut its stock repurchases; cutting Dividends would make less sense because of investors' expectations.</t>
  </si>
  <si>
    <t>Focusing on margin improvement would make the most sense because most of ITW's costs are variable, so reducing COGS or SG&amp;A by 1% of revenue will make</t>
  </si>
  <si>
    <t>a bigger difference than improving revenue growth by 1%; also, the company doesn't seem to be growing quickly, so there may not be much room for growth.</t>
  </si>
  <si>
    <t>Total Non-Current Liabilities: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</si>
</sst>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&quot;FY&quot;yy"/>
    <numFmt numFmtId="166" formatCode="_(#,##0.0%_);\(#,##0.0%\);_(&quot;–&quot;_)_%;_(@_)_%"/>
    <numFmt numFmtId="167" formatCode="_(#,##0.00%_);\(#,##0.00%\);_(&quot;–&quot;_)_%;_(@_)_%"/>
    <numFmt numFmtId="168" formatCode="_(* #,##0.0_);_(* \(#,##0.0\);_(* &quot;-&quot;?_);_(@_)"/>
    <numFmt numFmtId="169" formatCode="0.0%"/>
    <numFmt numFmtId="170" formatCode="_(&quot;$&quot;* #,##0.0_);_(&quot;$&quot;* \(#,##0.0\);_(&quot;$&quot;* &quot;-&quot;?_);_(@_)"/>
    <numFmt numFmtId="171" formatCode="&quot;$&quot;#,##0.000\);\(&quot;$&quot;#,##0.000\);&quot;OK!&quot;;&quot;ERROR&quot;"/>
    <numFmt numFmtId="172" formatCode="_(* #,##0.000_);_(* \(#,##0.000\);_(* &quot;-&quot;?_);_(@_)"/>
    <numFmt numFmtId="173" formatCode="0.0%;\(0.0%\)"/>
    <numFmt numFmtId="174" formatCode="#,##0.0_);\(#,##0.0\)"/>
    <numFmt numFmtId="17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114">
    <xf numFmtId="0" fontId="0" fillId="0" borderId="0" xfId="0"/>
    <xf numFmtId="168" fontId="0" fillId="0" borderId="0" xfId="0" applyNumberFormat="1"/>
    <xf numFmtId="0" fontId="0" fillId="0" borderId="0" xfId="0" applyFill="1"/>
    <xf numFmtId="39" fontId="3" fillId="5" borderId="2" xfId="1" applyNumberFormat="1" applyFont="1" applyFill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6" fillId="3" borderId="6" xfId="0" applyFont="1" applyFill="1" applyBorder="1"/>
    <xf numFmtId="0" fontId="7" fillId="3" borderId="6" xfId="0" applyFont="1" applyFill="1" applyBorder="1"/>
    <xf numFmtId="0" fontId="8" fillId="3" borderId="6" xfId="0" applyFont="1" applyFill="1" applyBorder="1"/>
    <xf numFmtId="0" fontId="7" fillId="3" borderId="6" xfId="0" applyFont="1" applyFill="1" applyBorder="1" applyAlignment="1"/>
    <xf numFmtId="0" fontId="3" fillId="5" borderId="1" xfId="1" applyFont="1" applyFill="1" applyAlignment="1">
      <alignment horizontal="center"/>
    </xf>
    <xf numFmtId="44" fontId="3" fillId="5" borderId="1" xfId="1" applyNumberFormat="1" applyFont="1" applyFill="1" applyAlignment="1">
      <alignment horizontal="center"/>
    </xf>
    <xf numFmtId="164" fontId="3" fillId="5" borderId="1" xfId="1" applyNumberFormat="1" applyFont="1" applyFill="1" applyAlignment="1">
      <alignment horizont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167" fontId="3" fillId="5" borderId="1" xfId="1" applyNumberFormat="1" applyFont="1" applyFill="1" applyAlignment="1">
      <alignment horizontal="center"/>
    </xf>
    <xf numFmtId="0" fontId="6" fillId="3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9" fillId="3" borderId="0" xfId="0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166" fontId="10" fillId="0" borderId="0" xfId="0" applyNumberFormat="1" applyFont="1"/>
    <xf numFmtId="170" fontId="4" fillId="0" borderId="0" xfId="0" applyNumberFormat="1" applyFont="1"/>
    <xf numFmtId="0" fontId="10" fillId="0" borderId="0" xfId="0" applyFont="1" applyAlignment="1">
      <alignment horizontal="center"/>
    </xf>
    <xf numFmtId="168" fontId="4" fillId="0" borderId="0" xfId="0" applyNumberFormat="1" applyFont="1"/>
    <xf numFmtId="0" fontId="4" fillId="0" borderId="0" xfId="0" applyFont="1" applyFill="1" applyBorder="1" applyAlignment="1">
      <alignment horizontal="left" indent="1"/>
    </xf>
    <xf numFmtId="0" fontId="4" fillId="0" borderId="0" xfId="0" applyFont="1" applyAlignment="1">
      <alignment horizontal="left" indent="1"/>
    </xf>
    <xf numFmtId="172" fontId="4" fillId="0" borderId="0" xfId="0" applyNumberFormat="1" applyFont="1"/>
    <xf numFmtId="170" fontId="3" fillId="0" borderId="0" xfId="0" applyNumberFormat="1" applyFont="1"/>
    <xf numFmtId="0" fontId="10" fillId="0" borderId="0" xfId="0" applyFont="1" applyAlignment="1">
      <alignment horizontal="left" indent="1"/>
    </xf>
    <xf numFmtId="168" fontId="3" fillId="0" borderId="0" xfId="0" applyNumberFormat="1" applyFont="1"/>
    <xf numFmtId="0" fontId="4" fillId="0" borderId="0" xfId="0" applyFont="1" applyBorder="1"/>
    <xf numFmtId="168" fontId="3" fillId="0" borderId="0" xfId="0" applyNumberFormat="1" applyFont="1" applyBorder="1"/>
    <xf numFmtId="168" fontId="4" fillId="0" borderId="0" xfId="0" applyNumberFormat="1" applyFont="1" applyBorder="1"/>
    <xf numFmtId="0" fontId="5" fillId="0" borderId="0" xfId="0" applyFont="1" applyAlignment="1">
      <alignment horizontal="left"/>
    </xf>
    <xf numFmtId="168" fontId="5" fillId="0" borderId="0" xfId="0" applyNumberFormat="1" applyFont="1"/>
    <xf numFmtId="169" fontId="4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left" indent="1"/>
    </xf>
    <xf numFmtId="49" fontId="4" fillId="0" borderId="6" xfId="0" applyNumberFormat="1" applyFont="1" applyBorder="1" applyAlignment="1">
      <alignment horizontal="left" indent="1"/>
    </xf>
    <xf numFmtId="168" fontId="3" fillId="0" borderId="6" xfId="0" applyNumberFormat="1" applyFont="1" applyBorder="1"/>
    <xf numFmtId="168" fontId="4" fillId="0" borderId="6" xfId="0" applyNumberFormat="1" applyFont="1" applyBorder="1"/>
    <xf numFmtId="49" fontId="5" fillId="0" borderId="0" xfId="0" applyNumberFormat="1" applyFont="1" applyBorder="1" applyAlignment="1">
      <alignment horizontal="left"/>
    </xf>
    <xf numFmtId="168" fontId="11" fillId="0" borderId="0" xfId="0" applyNumberFormat="1" applyFont="1" applyBorder="1"/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168" fontId="4" fillId="0" borderId="8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70" fontId="5" fillId="0" borderId="0" xfId="0" applyNumberFormat="1" applyFont="1"/>
    <xf numFmtId="49" fontId="5" fillId="4" borderId="6" xfId="0" applyNumberFormat="1" applyFont="1" applyFill="1" applyBorder="1"/>
    <xf numFmtId="0" fontId="4" fillId="0" borderId="0" xfId="0" applyFont="1" applyFill="1" applyAlignment="1">
      <alignment horizontal="left" indent="1"/>
    </xf>
    <xf numFmtId="0" fontId="4" fillId="0" borderId="6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168" fontId="4" fillId="0" borderId="0" xfId="0" applyNumberFormat="1" applyFont="1" applyFill="1"/>
    <xf numFmtId="0" fontId="10" fillId="0" borderId="0" xfId="0" applyFont="1" applyFill="1" applyBorder="1"/>
    <xf numFmtId="171" fontId="10" fillId="0" borderId="0" xfId="0" applyNumberFormat="1" applyFont="1"/>
    <xf numFmtId="49" fontId="4" fillId="0" borderId="0" xfId="0" applyNumberFormat="1" applyFont="1" applyFill="1" applyAlignment="1">
      <alignment horizontal="left" indent="1"/>
    </xf>
    <xf numFmtId="0" fontId="5" fillId="0" borderId="0" xfId="0" applyFont="1" applyBorder="1"/>
    <xf numFmtId="49" fontId="4" fillId="0" borderId="6" xfId="0" applyNumberFormat="1" applyFont="1" applyFill="1" applyBorder="1" applyAlignment="1">
      <alignment horizontal="left" indent="1"/>
    </xf>
    <xf numFmtId="168" fontId="5" fillId="0" borderId="7" xfId="0" applyNumberFormat="1" applyFont="1" applyBorder="1"/>
    <xf numFmtId="168" fontId="12" fillId="0" borderId="0" xfId="0" applyNumberFormat="1" applyFont="1" applyFill="1" applyBorder="1" applyAlignment="1"/>
    <xf numFmtId="0" fontId="4" fillId="0" borderId="6" xfId="0" applyFont="1" applyBorder="1" applyAlignment="1">
      <alignment horizontal="left" indent="1"/>
    </xf>
    <xf numFmtId="170" fontId="5" fillId="0" borderId="7" xfId="0" applyNumberFormat="1" applyFont="1" applyBorder="1"/>
    <xf numFmtId="170" fontId="5" fillId="0" borderId="0" xfId="0" applyNumberFormat="1" applyFont="1" applyBorder="1"/>
    <xf numFmtId="169" fontId="10" fillId="0" borderId="0" xfId="0" applyNumberFormat="1" applyFont="1"/>
    <xf numFmtId="0" fontId="5" fillId="0" borderId="9" xfId="0" applyFont="1" applyFill="1" applyBorder="1" applyAlignment="1">
      <alignment horizontal="left"/>
    </xf>
    <xf numFmtId="0" fontId="4" fillId="0" borderId="9" xfId="0" applyFont="1" applyBorder="1"/>
    <xf numFmtId="168" fontId="5" fillId="0" borderId="9" xfId="0" applyNumberFormat="1" applyFont="1" applyBorder="1"/>
    <xf numFmtId="0" fontId="5" fillId="0" borderId="9" xfId="0" applyFont="1" applyBorder="1"/>
    <xf numFmtId="166" fontId="4" fillId="0" borderId="0" xfId="0" applyNumberFormat="1" applyFont="1"/>
    <xf numFmtId="173" fontId="13" fillId="5" borderId="1" xfId="1" applyNumberFormat="1" applyFont="1" applyFill="1" applyBorder="1" applyAlignment="1"/>
    <xf numFmtId="173" fontId="14" fillId="5" borderId="1" xfId="1" applyNumberFormat="1" applyFont="1" applyFill="1" applyBorder="1" applyAlignment="1"/>
    <xf numFmtId="0" fontId="5" fillId="0" borderId="9" xfId="0" applyFont="1" applyBorder="1" applyAlignment="1">
      <alignment horizontal="left"/>
    </xf>
    <xf numFmtId="173" fontId="13" fillId="5" borderId="1" xfId="1" applyNumberFormat="1" applyFont="1" applyFill="1" applyBorder="1" applyAlignment="1">
      <alignment horizontal="center"/>
    </xf>
    <xf numFmtId="168" fontId="3" fillId="5" borderId="1" xfId="1" applyNumberFormat="1" applyFont="1" applyFill="1"/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indent="2"/>
    </xf>
    <xf numFmtId="0" fontId="5" fillId="0" borderId="9" xfId="0" applyFont="1" applyBorder="1" applyAlignment="1">
      <alignment horizontal="left" indent="1"/>
    </xf>
    <xf numFmtId="43" fontId="4" fillId="0" borderId="0" xfId="0" applyNumberFormat="1" applyFont="1"/>
    <xf numFmtId="173" fontId="13" fillId="0" borderId="0" xfId="1" applyNumberFormat="1" applyFont="1" applyFill="1" applyBorder="1" applyAlignment="1"/>
    <xf numFmtId="0" fontId="5" fillId="0" borderId="0" xfId="0" applyFont="1" applyBorder="1" applyAlignment="1">
      <alignment horizontal="left" indent="1"/>
    </xf>
    <xf numFmtId="0" fontId="10" fillId="0" borderId="6" xfId="0" applyFont="1" applyBorder="1" applyAlignment="1">
      <alignment horizontal="center"/>
    </xf>
    <xf numFmtId="168" fontId="15" fillId="0" borderId="0" xfId="1" applyNumberFormat="1" applyFont="1" applyFill="1" applyBorder="1"/>
    <xf numFmtId="43" fontId="0" fillId="0" borderId="0" xfId="0" applyNumberFormat="1"/>
    <xf numFmtId="174" fontId="4" fillId="0" borderId="0" xfId="0" applyNumberFormat="1" applyFont="1"/>
    <xf numFmtId="174" fontId="3" fillId="5" borderId="1" xfId="1" applyNumberFormat="1" applyFont="1" applyFill="1"/>
    <xf numFmtId="0" fontId="4" fillId="0" borderId="0" xfId="0" applyFont="1" applyFill="1" applyBorder="1" applyAlignment="1">
      <alignment horizontal="left" wrapText="1" indent="1"/>
    </xf>
    <xf numFmtId="0" fontId="5" fillId="4" borderId="11" xfId="0" applyFont="1" applyFill="1" applyBorder="1"/>
    <xf numFmtId="0" fontId="5" fillId="0" borderId="0" xfId="0" applyNumberFormat="1" applyFont="1" applyFill="1" applyBorder="1" applyAlignment="1"/>
    <xf numFmtId="0" fontId="5" fillId="0" borderId="9" xfId="0" applyFont="1" applyFill="1" applyBorder="1"/>
    <xf numFmtId="168" fontId="15" fillId="5" borderId="1" xfId="1" applyNumberFormat="1" applyFont="1" applyFill="1"/>
    <xf numFmtId="170" fontId="16" fillId="0" borderId="0" xfId="0" applyNumberFormat="1" applyFont="1"/>
    <xf numFmtId="168" fontId="3" fillId="0" borderId="8" xfId="0" applyNumberFormat="1" applyFont="1" applyBorder="1"/>
    <xf numFmtId="39" fontId="3" fillId="5" borderId="1" xfId="1" applyNumberFormat="1" applyFont="1" applyFill="1" applyBorder="1" applyAlignment="1">
      <alignment horizontal="centerContinuous"/>
    </xf>
    <xf numFmtId="174" fontId="15" fillId="5" borderId="1" xfId="1" applyNumberFormat="1" applyFont="1" applyFill="1"/>
    <xf numFmtId="168" fontId="16" fillId="0" borderId="0" xfId="0" applyNumberFormat="1" applyFont="1"/>
    <xf numFmtId="168" fontId="16" fillId="0" borderId="0" xfId="0" applyNumberFormat="1" applyFont="1" applyBorder="1"/>
    <xf numFmtId="169" fontId="17" fillId="0" borderId="0" xfId="0" applyNumberFormat="1" applyFont="1"/>
    <xf numFmtId="168" fontId="16" fillId="0" borderId="9" xfId="0" applyNumberFormat="1" applyFont="1" applyBorder="1"/>
    <xf numFmtId="170" fontId="16" fillId="0" borderId="0" xfId="0" applyNumberFormat="1" applyFont="1" applyBorder="1"/>
    <xf numFmtId="168" fontId="16" fillId="0" borderId="7" xfId="0" applyNumberFormat="1" applyFont="1" applyBorder="1"/>
    <xf numFmtId="168" fontId="3" fillId="0" borderId="0" xfId="0" applyNumberFormat="1" applyFont="1" applyFill="1" applyBorder="1" applyAlignment="1"/>
    <xf numFmtId="170" fontId="16" fillId="0" borderId="7" xfId="0" applyNumberFormat="1" applyFont="1" applyBorder="1"/>
    <xf numFmtId="0" fontId="4" fillId="4" borderId="6" xfId="0" applyFont="1" applyFill="1" applyBorder="1"/>
    <xf numFmtId="175" fontId="5" fillId="0" borderId="0" xfId="0" applyNumberFormat="1" applyFo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201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2" width="2.7109375" customWidth="1"/>
    <col min="3" max="3" width="42.42578125" customWidth="1"/>
    <col min="4" max="12" width="11.7109375" customWidth="1"/>
    <col min="13" max="14" width="2.7109375" customWidth="1"/>
    <col min="15" max="22" width="11.7109375" customWidth="1"/>
  </cols>
  <sheetData>
    <row r="1" spans="1:22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x14ac:dyDescent="0.25">
      <c r="A2" s="4"/>
      <c r="B2" s="5" t="str">
        <f>Company_Name&amp;" - Operating Model"</f>
        <v>Illinois Tool Works Inc. - Operating Model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75" x14ac:dyDescent="0.25">
      <c r="A3" s="4"/>
      <c r="B3" s="4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.75" x14ac:dyDescent="0.25">
      <c r="A4" s="4"/>
      <c r="B4" s="4"/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x14ac:dyDescent="0.25">
      <c r="A5" s="4"/>
      <c r="B5" s="7" t="s">
        <v>122</v>
      </c>
      <c r="C5" s="8"/>
      <c r="D5" s="9"/>
      <c r="E5" s="10"/>
      <c r="F5" s="10"/>
      <c r="G5" s="10"/>
      <c r="H5" s="10"/>
      <c r="I5" s="9"/>
      <c r="J5" s="10"/>
      <c r="K5" s="10"/>
      <c r="L5" s="10"/>
      <c r="M5" s="4"/>
      <c r="N5" s="23" t="s">
        <v>137</v>
      </c>
      <c r="O5" s="112"/>
      <c r="P5" s="112"/>
      <c r="Q5" s="112"/>
      <c r="R5" s="112"/>
      <c r="S5" s="112"/>
      <c r="T5" s="112"/>
      <c r="U5" s="112"/>
      <c r="V5" s="112"/>
    </row>
    <row r="6" spans="1:22" ht="15.75" x14ac:dyDescent="0.25">
      <c r="A6" s="4"/>
      <c r="B6" s="4"/>
      <c r="C6" s="4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 x14ac:dyDescent="0.25">
      <c r="A7" s="4"/>
      <c r="B7" s="4"/>
      <c r="C7" s="4" t="s">
        <v>124</v>
      </c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 t="s">
        <v>138</v>
      </c>
      <c r="P7" s="4"/>
      <c r="Q7" s="4"/>
      <c r="R7" s="4"/>
      <c r="S7" s="4"/>
      <c r="T7" s="4"/>
      <c r="U7" s="4"/>
      <c r="V7" s="4"/>
    </row>
    <row r="8" spans="1:22" ht="15.75" x14ac:dyDescent="0.25">
      <c r="A8" s="4"/>
      <c r="B8" s="4"/>
      <c r="C8" s="4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x14ac:dyDescent="0.25">
      <c r="A9" s="4"/>
      <c r="B9" s="4"/>
      <c r="C9" s="4" t="s">
        <v>125</v>
      </c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 t="s">
        <v>139</v>
      </c>
      <c r="P9" s="4"/>
      <c r="Q9" s="4"/>
      <c r="R9" s="4"/>
      <c r="S9" s="4"/>
      <c r="T9" s="4"/>
      <c r="U9" s="4"/>
      <c r="V9" s="4"/>
    </row>
    <row r="10" spans="1:22" ht="15.75" x14ac:dyDescent="0.25">
      <c r="A10" s="4"/>
      <c r="B10" s="4"/>
      <c r="C10" s="4" t="s">
        <v>131</v>
      </c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140</v>
      </c>
      <c r="P10" s="4"/>
      <c r="Q10" s="4"/>
      <c r="R10" s="4"/>
      <c r="S10" s="4"/>
      <c r="T10" s="4"/>
      <c r="U10" s="4"/>
      <c r="V10" s="4"/>
    </row>
    <row r="11" spans="1:22" ht="15.75" x14ac:dyDescent="0.25">
      <c r="A11" s="4"/>
      <c r="B11" s="4"/>
      <c r="C11" s="4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x14ac:dyDescent="0.25">
      <c r="A12" s="4"/>
      <c r="B12" s="4"/>
      <c r="C12" s="4" t="s">
        <v>126</v>
      </c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 t="s">
        <v>145</v>
      </c>
      <c r="P12" s="4"/>
      <c r="Q12" s="4"/>
      <c r="R12" s="4"/>
      <c r="S12" s="4"/>
      <c r="T12" s="4"/>
      <c r="U12" s="4"/>
      <c r="V12" s="4"/>
    </row>
    <row r="13" spans="1:22" ht="15.75" x14ac:dyDescent="0.25">
      <c r="A13" s="4"/>
      <c r="B13" s="4"/>
      <c r="C13" s="4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 t="s">
        <v>141</v>
      </c>
      <c r="P13" s="4"/>
      <c r="Q13" s="4"/>
      <c r="R13" s="4"/>
      <c r="S13" s="4"/>
      <c r="T13" s="4"/>
      <c r="U13" s="4"/>
      <c r="V13" s="4"/>
    </row>
    <row r="14" spans="1:22" ht="15.75" x14ac:dyDescent="0.25">
      <c r="A14" s="4"/>
      <c r="B14" s="4"/>
      <c r="C14" s="4" t="s">
        <v>134</v>
      </c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5.75" x14ac:dyDescent="0.25">
      <c r="A15" s="4"/>
      <c r="B15" s="4"/>
      <c r="C15" s="4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 t="s">
        <v>142</v>
      </c>
      <c r="P15" s="4"/>
      <c r="Q15" s="4"/>
      <c r="R15" s="4"/>
      <c r="S15" s="4"/>
      <c r="T15" s="4"/>
      <c r="U15" s="4"/>
      <c r="V15" s="4"/>
    </row>
    <row r="16" spans="1:22" ht="15.75" x14ac:dyDescent="0.25">
      <c r="A16" s="4"/>
      <c r="B16" s="4"/>
      <c r="C16" s="5" t="s">
        <v>132</v>
      </c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 x14ac:dyDescent="0.25">
      <c r="A17" s="4"/>
      <c r="B17" s="4"/>
      <c r="C17" s="4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 t="s">
        <v>143</v>
      </c>
      <c r="P17" s="4"/>
      <c r="Q17" s="4"/>
      <c r="R17" s="4"/>
      <c r="S17" s="4"/>
      <c r="T17" s="4"/>
      <c r="U17" s="4"/>
      <c r="V17" s="4"/>
    </row>
    <row r="18" spans="1:22" ht="15.75" x14ac:dyDescent="0.25">
      <c r="A18" s="4"/>
      <c r="B18" s="4"/>
      <c r="C18" s="4" t="s">
        <v>172</v>
      </c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4" t="s">
        <v>144</v>
      </c>
      <c r="P18" s="4"/>
      <c r="Q18" s="4"/>
      <c r="R18" s="4"/>
      <c r="S18" s="4"/>
      <c r="T18" s="4"/>
      <c r="U18" s="4"/>
      <c r="V18" s="4"/>
    </row>
    <row r="19" spans="1:22" ht="15.75" x14ac:dyDescent="0.25">
      <c r="A19" s="4"/>
      <c r="B19" s="4"/>
      <c r="C19" s="4" t="s">
        <v>173</v>
      </c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x14ac:dyDescent="0.25">
      <c r="A20" s="4"/>
      <c r="B20" s="4"/>
      <c r="C20" s="4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 t="s">
        <v>152</v>
      </c>
      <c r="P20" s="4"/>
      <c r="Q20" s="4"/>
      <c r="R20" s="4"/>
      <c r="S20" s="4"/>
      <c r="T20" s="4"/>
      <c r="U20" s="4"/>
      <c r="V20" s="4"/>
    </row>
    <row r="21" spans="1:22" ht="15.75" x14ac:dyDescent="0.25">
      <c r="A21" s="4"/>
      <c r="B21" s="4"/>
      <c r="C21" s="5" t="s">
        <v>133</v>
      </c>
      <c r="D21" s="6"/>
      <c r="E21" s="4"/>
      <c r="F21" s="4"/>
      <c r="G21" s="4"/>
      <c r="H21" s="4"/>
      <c r="I21" s="4"/>
      <c r="J21" s="4"/>
      <c r="K21" s="4"/>
      <c r="L21" s="4"/>
      <c r="M21" s="4"/>
      <c r="N21" s="4"/>
      <c r="O21" s="4" t="s">
        <v>153</v>
      </c>
      <c r="P21" s="4"/>
      <c r="Q21" s="4"/>
      <c r="R21" s="4"/>
      <c r="S21" s="4"/>
      <c r="T21" s="4"/>
      <c r="U21" s="4"/>
      <c r="V21" s="4"/>
    </row>
    <row r="22" spans="1:22" ht="15.75" x14ac:dyDescent="0.25">
      <c r="A22" s="4"/>
      <c r="B22" s="4"/>
      <c r="C22" s="4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 t="s">
        <v>154</v>
      </c>
      <c r="P22" s="4"/>
      <c r="Q22" s="4"/>
      <c r="R22" s="4"/>
      <c r="S22" s="4"/>
      <c r="T22" s="4"/>
      <c r="U22" s="4"/>
      <c r="V22" s="4"/>
    </row>
    <row r="23" spans="1:22" ht="15.75" x14ac:dyDescent="0.25">
      <c r="A23" s="4"/>
      <c r="B23" s="4"/>
      <c r="C23" s="4" t="s">
        <v>174</v>
      </c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22" ht="15.75" x14ac:dyDescent="0.25">
      <c r="A24" s="4"/>
      <c r="B24" s="4"/>
      <c r="C24" s="4" t="s">
        <v>175</v>
      </c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 t="s">
        <v>146</v>
      </c>
      <c r="P24" s="4"/>
      <c r="Q24" s="4"/>
      <c r="R24" s="4"/>
      <c r="S24" s="4"/>
      <c r="T24" s="4"/>
      <c r="U24" s="4"/>
      <c r="V24" s="4"/>
    </row>
    <row r="25" spans="1:22" ht="15.75" x14ac:dyDescent="0.25">
      <c r="A25" s="4"/>
      <c r="B25" s="4"/>
      <c r="C25" s="4"/>
      <c r="D25" s="6"/>
      <c r="E25" s="4"/>
      <c r="F25" s="4"/>
      <c r="G25" s="4"/>
      <c r="H25" s="4"/>
      <c r="I25" s="4"/>
      <c r="J25" s="4"/>
      <c r="K25" s="4"/>
      <c r="L25" s="4"/>
      <c r="M25" s="4"/>
      <c r="N25" s="4"/>
      <c r="O25" s="4" t="s">
        <v>148</v>
      </c>
      <c r="P25" s="4"/>
      <c r="Q25" s="4"/>
      <c r="R25" s="4"/>
      <c r="S25" s="4"/>
      <c r="T25" s="4"/>
      <c r="U25" s="4"/>
      <c r="V25" s="4"/>
    </row>
    <row r="26" spans="1:22" ht="15.75" x14ac:dyDescent="0.25">
      <c r="A26" s="4"/>
      <c r="B26" s="4"/>
      <c r="C26" s="5" t="s">
        <v>135</v>
      </c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 t="s">
        <v>147</v>
      </c>
      <c r="P26" s="4"/>
      <c r="Q26" s="4"/>
      <c r="R26" s="4"/>
      <c r="S26" s="4"/>
      <c r="T26" s="4"/>
      <c r="U26" s="4"/>
      <c r="V26" s="4"/>
    </row>
    <row r="27" spans="1:22" ht="15.75" x14ac:dyDescent="0.25">
      <c r="A27" s="4"/>
      <c r="B27" s="4"/>
      <c r="C27" s="4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x14ac:dyDescent="0.25">
      <c r="A28" s="4"/>
      <c r="B28" s="4"/>
      <c r="C28" s="4" t="s">
        <v>176</v>
      </c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 t="s">
        <v>149</v>
      </c>
      <c r="P28" s="4"/>
      <c r="Q28" s="4"/>
      <c r="R28" s="4"/>
      <c r="S28" s="4"/>
      <c r="T28" s="4"/>
      <c r="U28" s="4"/>
      <c r="V28" s="4"/>
    </row>
    <row r="29" spans="1:22" ht="15.75" x14ac:dyDescent="0.25">
      <c r="A29" s="4"/>
      <c r="B29" s="4"/>
      <c r="C29" s="4" t="s">
        <v>177</v>
      </c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 t="s">
        <v>150</v>
      </c>
      <c r="P29" s="4"/>
      <c r="Q29" s="4"/>
      <c r="R29" s="4"/>
      <c r="S29" s="4"/>
      <c r="T29" s="4"/>
      <c r="U29" s="4"/>
      <c r="V29" s="4"/>
    </row>
    <row r="30" spans="1:22" ht="15.75" x14ac:dyDescent="0.25">
      <c r="A30" s="4"/>
      <c r="B30" s="4"/>
      <c r="C30" s="4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 t="s">
        <v>151</v>
      </c>
      <c r="P30" s="4"/>
      <c r="Q30" s="4"/>
      <c r="R30" s="4"/>
      <c r="S30" s="4"/>
      <c r="T30" s="4"/>
      <c r="U30" s="4"/>
      <c r="V30" s="4"/>
    </row>
    <row r="31" spans="1:22" ht="15.75" x14ac:dyDescent="0.25">
      <c r="A31" s="4"/>
      <c r="B31" s="7" t="s">
        <v>0</v>
      </c>
      <c r="C31" s="8"/>
      <c r="D31" s="9"/>
      <c r="E31" s="10"/>
      <c r="F31" s="10"/>
      <c r="G31" s="10"/>
      <c r="H31" s="10"/>
      <c r="I31" s="9"/>
      <c r="J31" s="10"/>
      <c r="K31" s="10"/>
      <c r="L31" s="10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4"/>
      <c r="O32" s="4" t="s">
        <v>155</v>
      </c>
      <c r="P32" s="4"/>
      <c r="Q32" s="4"/>
      <c r="R32" s="4"/>
      <c r="S32" s="4"/>
      <c r="T32" s="4"/>
      <c r="U32" s="4"/>
      <c r="V32" s="4"/>
    </row>
    <row r="33" spans="1:22" ht="15.75" x14ac:dyDescent="0.25">
      <c r="A33" s="4"/>
      <c r="B33" s="4"/>
      <c r="C33" s="4" t="s">
        <v>1</v>
      </c>
      <c r="D33" s="3" t="s">
        <v>123</v>
      </c>
      <c r="E33" s="3"/>
      <c r="F33" s="102"/>
      <c r="G33" s="4"/>
      <c r="H33" s="4"/>
      <c r="I33" s="4"/>
      <c r="J33" s="4"/>
      <c r="K33" s="4"/>
      <c r="L33" s="4"/>
      <c r="N33" s="4"/>
      <c r="O33" s="4" t="s">
        <v>156</v>
      </c>
      <c r="P33" s="4"/>
      <c r="Q33" s="4"/>
      <c r="R33" s="4"/>
      <c r="S33" s="4"/>
      <c r="T33" s="4"/>
      <c r="U33" s="4"/>
      <c r="V33" s="4"/>
    </row>
    <row r="34" spans="1:22" ht="15.75" x14ac:dyDescent="0.25">
      <c r="A34" s="4"/>
      <c r="B34" s="4"/>
      <c r="C34" s="4" t="s">
        <v>2</v>
      </c>
      <c r="D34" s="11" t="s">
        <v>21</v>
      </c>
      <c r="E34" s="4"/>
      <c r="F34" s="4"/>
      <c r="G34" s="4"/>
      <c r="H34" s="4"/>
      <c r="I34" s="4"/>
      <c r="J34" s="4"/>
      <c r="K34" s="4"/>
      <c r="L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x14ac:dyDescent="0.25">
      <c r="A35" s="4"/>
      <c r="B35" s="4"/>
      <c r="C35" s="4" t="s">
        <v>66</v>
      </c>
      <c r="D35" s="12">
        <v>117.46</v>
      </c>
      <c r="E35" s="4"/>
      <c r="F35" s="4"/>
      <c r="G35" s="4"/>
      <c r="H35" s="4"/>
      <c r="I35" s="4"/>
      <c r="J35" s="4"/>
      <c r="K35" s="4"/>
      <c r="L35" s="4"/>
      <c r="N35" s="4"/>
      <c r="O35" s="5" t="s">
        <v>157</v>
      </c>
      <c r="P35" s="4"/>
      <c r="Q35" s="4"/>
      <c r="R35" s="4"/>
      <c r="S35" s="4"/>
      <c r="T35" s="4"/>
      <c r="U35" s="4"/>
      <c r="V35" s="4"/>
    </row>
    <row r="36" spans="1:22" ht="15.75" x14ac:dyDescent="0.25">
      <c r="A36" s="4"/>
      <c r="B36" s="4"/>
      <c r="C36" s="14" t="s">
        <v>3</v>
      </c>
      <c r="D36" s="13">
        <v>42369</v>
      </c>
      <c r="E36" s="4"/>
      <c r="F36" s="4"/>
      <c r="G36" s="4"/>
      <c r="H36" s="4"/>
      <c r="I36" s="4"/>
      <c r="J36" s="4"/>
      <c r="K36" s="4"/>
      <c r="L36" s="4"/>
      <c r="N36" s="4"/>
      <c r="O36" s="4" t="s">
        <v>158</v>
      </c>
      <c r="P36" s="4"/>
      <c r="Q36" s="4"/>
      <c r="R36" s="4"/>
      <c r="S36" s="4"/>
      <c r="T36" s="4"/>
      <c r="U36" s="4"/>
      <c r="V36" s="4"/>
    </row>
    <row r="37" spans="1:22" ht="15.75" x14ac:dyDescent="0.25">
      <c r="A37" s="4"/>
      <c r="B37" s="4"/>
      <c r="C37" s="1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x14ac:dyDescent="0.25">
      <c r="A38" s="4"/>
      <c r="B38" s="4"/>
      <c r="C38" s="15" t="s">
        <v>77</v>
      </c>
      <c r="D38" s="16">
        <v>3.0000000000000001E-3</v>
      </c>
      <c r="E38" s="4"/>
      <c r="F38" s="4"/>
      <c r="G38" s="4"/>
      <c r="H38" s="4"/>
      <c r="I38" s="4"/>
      <c r="J38" s="4"/>
      <c r="K38" s="4"/>
      <c r="L38" s="4"/>
      <c r="N38" s="4"/>
      <c r="O38" s="4" t="s">
        <v>159</v>
      </c>
      <c r="P38" s="4"/>
      <c r="Q38" s="4"/>
      <c r="R38" s="4"/>
      <c r="S38" s="4"/>
      <c r="T38" s="4"/>
      <c r="U38" s="4"/>
      <c r="V38" s="4"/>
    </row>
    <row r="39" spans="1:22" ht="15.75" x14ac:dyDescent="0.25">
      <c r="A39" s="4"/>
      <c r="B39" s="4"/>
      <c r="C39" s="14" t="s">
        <v>65</v>
      </c>
      <c r="D39" s="79">
        <v>0.3</v>
      </c>
      <c r="E39" s="4"/>
      <c r="F39" s="4"/>
      <c r="G39" s="4"/>
      <c r="H39" s="4"/>
      <c r="I39" s="4"/>
      <c r="J39" s="4"/>
      <c r="K39" s="4"/>
      <c r="L39" s="4"/>
      <c r="N39" s="4"/>
      <c r="O39" s="4" t="s">
        <v>160</v>
      </c>
      <c r="P39" s="4"/>
      <c r="Q39" s="4"/>
      <c r="R39" s="4"/>
      <c r="S39" s="4"/>
      <c r="T39" s="4"/>
      <c r="U39" s="4"/>
      <c r="V39" s="4"/>
    </row>
    <row r="40" spans="1:22" ht="15.75" x14ac:dyDescent="0.25">
      <c r="A40" s="4"/>
      <c r="B40" s="4"/>
      <c r="C40" s="14" t="s">
        <v>82</v>
      </c>
      <c r="D40" s="79">
        <v>0.04</v>
      </c>
      <c r="E40" s="4"/>
      <c r="F40" s="4"/>
      <c r="G40" s="4"/>
      <c r="H40" s="4"/>
      <c r="I40" s="4"/>
      <c r="J40" s="4"/>
      <c r="K40" s="4"/>
      <c r="L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x14ac:dyDescent="0.25">
      <c r="A41" s="4"/>
      <c r="B41" s="4"/>
      <c r="C41" s="14" t="s">
        <v>94</v>
      </c>
      <c r="D41" s="79">
        <v>5.0000000000000001E-3</v>
      </c>
      <c r="E41" s="4"/>
      <c r="F41" s="4"/>
      <c r="G41" s="4"/>
      <c r="H41" s="4"/>
      <c r="I41" s="4"/>
      <c r="J41" s="4"/>
      <c r="K41" s="4"/>
      <c r="L41" s="4"/>
      <c r="N41" s="4"/>
      <c r="O41" s="4" t="s">
        <v>161</v>
      </c>
      <c r="P41" s="4"/>
      <c r="Q41" s="4"/>
      <c r="R41" s="4"/>
      <c r="S41" s="4"/>
      <c r="T41" s="4"/>
      <c r="U41" s="4"/>
      <c r="V41" s="4"/>
    </row>
    <row r="42" spans="1:22" ht="15.75" x14ac:dyDescent="0.25">
      <c r="A42" s="4"/>
      <c r="B42" s="4"/>
      <c r="C42" s="1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x14ac:dyDescent="0.25">
      <c r="A43" s="4"/>
      <c r="B43" s="17"/>
      <c r="C43" s="17"/>
      <c r="D43" s="17"/>
      <c r="E43" s="18" t="s">
        <v>5</v>
      </c>
      <c r="F43" s="18"/>
      <c r="G43" s="18"/>
      <c r="H43" s="19" t="s">
        <v>6</v>
      </c>
      <c r="I43" s="18"/>
      <c r="J43" s="18"/>
      <c r="K43" s="18"/>
      <c r="L43" s="18"/>
      <c r="N43" s="4"/>
      <c r="O43" s="4" t="s">
        <v>162</v>
      </c>
      <c r="P43" s="4"/>
      <c r="Q43" s="4"/>
      <c r="R43" s="4"/>
      <c r="S43" s="4"/>
      <c r="T43" s="4"/>
      <c r="U43" s="4"/>
      <c r="V43" s="4"/>
    </row>
    <row r="44" spans="1:22" ht="15.75" x14ac:dyDescent="0.25">
      <c r="A44" s="4"/>
      <c r="B44" s="17" t="s">
        <v>58</v>
      </c>
      <c r="C44" s="17"/>
      <c r="D44" s="20" t="s">
        <v>62</v>
      </c>
      <c r="E44" s="21">
        <f t="shared" ref="E44" si="0">EOMONTH(F44,-12)</f>
        <v>41639</v>
      </c>
      <c r="F44" s="21">
        <f>EOMONTH(G44,-12)</f>
        <v>42004</v>
      </c>
      <c r="G44" s="21">
        <f>Hist_Yr</f>
        <v>42369</v>
      </c>
      <c r="H44" s="22">
        <f>EOMONTH(G44,12)</f>
        <v>42735</v>
      </c>
      <c r="I44" s="21">
        <f>EOMONTH(H44,12)</f>
        <v>43100</v>
      </c>
      <c r="J44" s="21">
        <f t="shared" ref="J44" si="1">EOMONTH(I44,12)</f>
        <v>43465</v>
      </c>
      <c r="K44" s="21">
        <f t="shared" ref="K44" si="2">EOMONTH(J44,12)</f>
        <v>43830</v>
      </c>
      <c r="L44" s="21">
        <f t="shared" ref="L44" si="3">EOMONTH(K44,12)</f>
        <v>44196</v>
      </c>
      <c r="N44" s="4"/>
      <c r="O44" s="4" t="s">
        <v>163</v>
      </c>
      <c r="P44" s="4"/>
      <c r="Q44" s="4"/>
      <c r="R44" s="4"/>
      <c r="S44" s="4"/>
      <c r="T44" s="4"/>
      <c r="U44" s="4"/>
      <c r="V44" s="4"/>
    </row>
    <row r="45" spans="1:22" ht="15.75" x14ac:dyDescent="0.25">
      <c r="A45" s="4"/>
      <c r="B45" s="23" t="s">
        <v>59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x14ac:dyDescent="0.25">
      <c r="A46" s="4"/>
      <c r="B46" s="58"/>
      <c r="C46" s="24" t="s">
        <v>29</v>
      </c>
      <c r="D46" s="28" t="s">
        <v>63</v>
      </c>
      <c r="E46" s="75"/>
      <c r="F46" s="75"/>
      <c r="G46" s="75"/>
      <c r="H46" s="76">
        <v>0.05</v>
      </c>
      <c r="I46" s="76">
        <v>0.04</v>
      </c>
      <c r="J46" s="76">
        <v>0.04</v>
      </c>
      <c r="K46" s="76">
        <v>0.03</v>
      </c>
      <c r="L46" s="76">
        <v>0.03</v>
      </c>
      <c r="N46" s="4"/>
      <c r="O46" s="4" t="s">
        <v>164</v>
      </c>
      <c r="P46" s="4"/>
      <c r="Q46" s="4"/>
      <c r="R46" s="4"/>
      <c r="S46" s="4"/>
      <c r="T46" s="4"/>
      <c r="U46" s="4"/>
      <c r="V46" s="4"/>
    </row>
    <row r="47" spans="1:22" ht="15.75" x14ac:dyDescent="0.25">
      <c r="A47" s="4"/>
      <c r="B47" s="58"/>
      <c r="C47" s="30" t="s">
        <v>28</v>
      </c>
      <c r="D47" s="28" t="s">
        <v>63</v>
      </c>
      <c r="E47" s="41">
        <f>+E100/E96</f>
        <v>0.39483551467987266</v>
      </c>
      <c r="F47" s="41">
        <f t="shared" ref="F47:G47" si="4">+F100/F96</f>
        <v>0.40120132560066279</v>
      </c>
      <c r="G47" s="41">
        <f t="shared" si="4"/>
        <v>0.41156284968295415</v>
      </c>
      <c r="H47" s="77">
        <f>+G47+GM_Improv</f>
        <v>0.41456284968295415</v>
      </c>
      <c r="I47" s="77">
        <f>+H47+GM_Improv</f>
        <v>0.41756284968295415</v>
      </c>
      <c r="J47" s="77">
        <f>+I47+GM_Improv</f>
        <v>0.42056284968295415</v>
      </c>
      <c r="K47" s="77">
        <f>+J47+GM_Improv</f>
        <v>0.42356284968295416</v>
      </c>
      <c r="L47" s="77">
        <f>+K47+GM_Improv</f>
        <v>0.42656284968295416</v>
      </c>
      <c r="N47" s="4"/>
      <c r="O47" s="4" t="s">
        <v>165</v>
      </c>
      <c r="P47" s="4"/>
      <c r="Q47" s="4"/>
      <c r="R47" s="4"/>
      <c r="S47" s="4"/>
      <c r="T47" s="4"/>
      <c r="U47" s="4"/>
      <c r="V47" s="4"/>
    </row>
    <row r="48" spans="1:22" ht="15.75" x14ac:dyDescent="0.25">
      <c r="A48" s="4"/>
      <c r="B48" s="4"/>
      <c r="C48" s="24" t="s">
        <v>80</v>
      </c>
      <c r="D48" s="28" t="s">
        <v>63</v>
      </c>
      <c r="E48" s="75"/>
      <c r="F48" s="75"/>
      <c r="G48" s="75"/>
      <c r="H48" s="76">
        <v>0.18</v>
      </c>
      <c r="I48" s="76">
        <v>0.17499999999999999</v>
      </c>
      <c r="J48" s="76">
        <v>0.17499999999999999</v>
      </c>
      <c r="K48" s="76">
        <v>0.17</v>
      </c>
      <c r="L48" s="76">
        <v>0.17</v>
      </c>
      <c r="N48" s="4"/>
      <c r="O48" s="4" t="s">
        <v>166</v>
      </c>
      <c r="P48" s="4"/>
      <c r="Q48" s="4"/>
      <c r="R48" s="4"/>
      <c r="S48" s="4"/>
      <c r="T48" s="4"/>
      <c r="U48" s="4"/>
      <c r="V48" s="4"/>
    </row>
    <row r="49" spans="1:22" ht="15.75" x14ac:dyDescent="0.25">
      <c r="A49" s="4"/>
      <c r="B49" s="4"/>
      <c r="C49" s="24"/>
      <c r="D49" s="25"/>
      <c r="E49" s="26"/>
      <c r="F49" s="26"/>
      <c r="G49" s="26"/>
      <c r="H49" s="4"/>
      <c r="I49" s="4"/>
      <c r="J49" s="4"/>
      <c r="K49" s="4"/>
      <c r="L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x14ac:dyDescent="0.25">
      <c r="A50" s="4"/>
      <c r="B50" s="4"/>
      <c r="C50" s="24" t="s">
        <v>22</v>
      </c>
      <c r="D50" s="28" t="s">
        <v>81</v>
      </c>
      <c r="E50" s="27"/>
      <c r="F50" s="27"/>
      <c r="G50" s="27"/>
      <c r="H50" s="80">
        <v>217</v>
      </c>
      <c r="I50" s="80">
        <v>196</v>
      </c>
      <c r="J50" s="80">
        <v>175</v>
      </c>
      <c r="K50" s="80">
        <v>153</v>
      </c>
      <c r="L50" s="80">
        <v>134</v>
      </c>
      <c r="N50" s="4"/>
      <c r="O50" s="4" t="s">
        <v>167</v>
      </c>
      <c r="P50" s="4"/>
      <c r="Q50" s="4"/>
      <c r="R50" s="4"/>
      <c r="S50" s="4"/>
      <c r="T50" s="4"/>
      <c r="U50" s="4"/>
      <c r="V50" s="4"/>
    </row>
    <row r="51" spans="1:22" ht="15.75" x14ac:dyDescent="0.25">
      <c r="A51" s="4"/>
      <c r="B51" s="4"/>
      <c r="C51" s="48" t="s">
        <v>73</v>
      </c>
      <c r="D51" s="28" t="s">
        <v>81</v>
      </c>
      <c r="E51" s="26"/>
      <c r="F51" s="26"/>
      <c r="G51" s="26"/>
      <c r="H51" s="80">
        <v>0</v>
      </c>
      <c r="I51" s="80">
        <v>0</v>
      </c>
      <c r="J51" s="80">
        <v>0</v>
      </c>
      <c r="K51" s="80">
        <v>0</v>
      </c>
      <c r="L51" s="80">
        <v>0</v>
      </c>
      <c r="N51" s="4"/>
      <c r="O51" s="4" t="s">
        <v>168</v>
      </c>
      <c r="P51" s="4"/>
      <c r="Q51" s="4"/>
      <c r="R51" s="4"/>
      <c r="S51" s="4"/>
      <c r="T51" s="4"/>
      <c r="U51" s="4"/>
      <c r="V51" s="4"/>
    </row>
    <row r="52" spans="1:22" ht="15.75" x14ac:dyDescent="0.25">
      <c r="A52" s="4"/>
      <c r="B52" s="4"/>
      <c r="C52" s="14"/>
      <c r="D52" s="4"/>
      <c r="E52" s="4"/>
      <c r="F52" s="4"/>
      <c r="G52" s="4"/>
      <c r="H52" s="4"/>
      <c r="I52" s="4"/>
      <c r="J52" s="4"/>
      <c r="K52" s="4"/>
      <c r="L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x14ac:dyDescent="0.25">
      <c r="A53" s="4"/>
      <c r="B53" s="4"/>
      <c r="C53" s="24" t="s">
        <v>83</v>
      </c>
      <c r="D53" s="28" t="s">
        <v>63</v>
      </c>
      <c r="E53" s="4"/>
      <c r="F53" s="4"/>
      <c r="G53" s="4"/>
      <c r="H53" s="76">
        <v>0.1</v>
      </c>
      <c r="I53" s="76">
        <v>0.1</v>
      </c>
      <c r="J53" s="76">
        <v>0.1</v>
      </c>
      <c r="K53" s="76">
        <v>0.1</v>
      </c>
      <c r="L53" s="76">
        <v>0.1</v>
      </c>
      <c r="N53" s="4"/>
      <c r="O53" s="4" t="s">
        <v>169</v>
      </c>
      <c r="P53" s="4"/>
      <c r="Q53" s="4"/>
      <c r="R53" s="4"/>
      <c r="S53" s="4"/>
      <c r="T53" s="4"/>
      <c r="U53" s="4"/>
      <c r="V53" s="4"/>
    </row>
    <row r="54" spans="1:22" ht="15.75" x14ac:dyDescent="0.25">
      <c r="A54" s="4"/>
      <c r="B54" s="4"/>
      <c r="C54" s="24"/>
      <c r="D54" s="28"/>
      <c r="E54" s="4"/>
      <c r="F54" s="4"/>
      <c r="G54" s="4"/>
      <c r="H54" s="88"/>
      <c r="I54" s="88"/>
      <c r="J54" s="88"/>
      <c r="K54" s="88"/>
      <c r="L54" s="88"/>
      <c r="N54" s="4"/>
      <c r="O54" s="4" t="s">
        <v>170</v>
      </c>
      <c r="P54" s="4"/>
      <c r="Q54" s="4"/>
      <c r="R54" s="4"/>
      <c r="S54" s="4"/>
      <c r="T54" s="4"/>
      <c r="U54" s="4"/>
      <c r="V54" s="4"/>
    </row>
    <row r="55" spans="1:22" ht="15.75" x14ac:dyDescent="0.25">
      <c r="A55" s="4"/>
      <c r="B55" s="4"/>
      <c r="C55" s="89" t="s">
        <v>87</v>
      </c>
      <c r="D55" s="28" t="s">
        <v>81</v>
      </c>
      <c r="E55" s="4"/>
      <c r="F55" s="4"/>
      <c r="G55" s="29"/>
      <c r="H55" s="40">
        <f>+G151</f>
        <v>7422</v>
      </c>
      <c r="I55" s="40">
        <f>+H57</f>
        <v>6679.8</v>
      </c>
      <c r="J55" s="40">
        <f t="shared" ref="J55:L55" si="5">+I57</f>
        <v>5937.6</v>
      </c>
      <c r="K55" s="40">
        <f t="shared" si="5"/>
        <v>5195.4000000000005</v>
      </c>
      <c r="L55" s="40">
        <f t="shared" si="5"/>
        <v>4453.2000000000007</v>
      </c>
      <c r="N55" s="4"/>
      <c r="O55" s="4" t="s">
        <v>171</v>
      </c>
      <c r="P55" s="4"/>
      <c r="Q55" s="4"/>
      <c r="R55" s="4"/>
      <c r="S55" s="4"/>
      <c r="T55" s="4"/>
      <c r="U55" s="4"/>
      <c r="V55" s="4"/>
    </row>
    <row r="56" spans="1:22" ht="15.75" x14ac:dyDescent="0.25">
      <c r="A56" s="4"/>
      <c r="B56" s="4"/>
      <c r="C56" s="85" t="s">
        <v>90</v>
      </c>
      <c r="D56" s="90" t="s">
        <v>81</v>
      </c>
      <c r="E56" s="4"/>
      <c r="F56" s="4"/>
      <c r="G56" s="4"/>
      <c r="H56" s="45">
        <f>-H53*$H$55</f>
        <v>-742.2</v>
      </c>
      <c r="I56" s="45">
        <f>-I53*$H$55</f>
        <v>-742.2</v>
      </c>
      <c r="J56" s="45">
        <f t="shared" ref="J56:L56" si="6">-J53*$H$55</f>
        <v>-742.2</v>
      </c>
      <c r="K56" s="45">
        <f t="shared" si="6"/>
        <v>-742.2</v>
      </c>
      <c r="L56" s="45">
        <f t="shared" si="6"/>
        <v>-742.2</v>
      </c>
      <c r="N56" s="4"/>
    </row>
    <row r="57" spans="1:22" ht="15.75" x14ac:dyDescent="0.25">
      <c r="A57" s="4"/>
      <c r="B57" s="4"/>
      <c r="C57" s="86" t="s">
        <v>91</v>
      </c>
      <c r="D57" s="28" t="s">
        <v>81</v>
      </c>
      <c r="E57" s="72"/>
      <c r="F57" s="72"/>
      <c r="G57" s="72"/>
      <c r="H57" s="40">
        <f>SUM(H55:H56)</f>
        <v>6679.8</v>
      </c>
      <c r="I57" s="40">
        <f>SUM(I55:I56)</f>
        <v>5937.6</v>
      </c>
      <c r="J57" s="40">
        <f t="shared" ref="J57:L57" si="7">SUM(J55:J56)</f>
        <v>5195.4000000000005</v>
      </c>
      <c r="K57" s="40">
        <f t="shared" si="7"/>
        <v>4453.2000000000007</v>
      </c>
      <c r="L57" s="40">
        <f t="shared" si="7"/>
        <v>3711.0000000000009</v>
      </c>
      <c r="N57" s="4"/>
    </row>
    <row r="58" spans="1:22" ht="15.75" x14ac:dyDescent="0.25">
      <c r="A58" s="4"/>
      <c r="B58" s="4"/>
      <c r="C58" s="1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x14ac:dyDescent="0.25">
      <c r="A59" s="4"/>
      <c r="B59" s="4"/>
      <c r="C59" s="24" t="s">
        <v>23</v>
      </c>
      <c r="D59" s="28" t="s">
        <v>81</v>
      </c>
      <c r="E59" s="4"/>
      <c r="F59" s="4"/>
      <c r="G59" s="4"/>
      <c r="H59" s="38">
        <f>+H55*Debt_Interest_Rate</f>
        <v>296.88</v>
      </c>
      <c r="I59" s="38">
        <f>+I55*Debt_Interest_Rate</f>
        <v>267.19200000000001</v>
      </c>
      <c r="J59" s="38">
        <f>+J55*Debt_Interest_Rate</f>
        <v>237.50400000000002</v>
      </c>
      <c r="K59" s="38">
        <f>+K55*Debt_Interest_Rate</f>
        <v>207.81600000000003</v>
      </c>
      <c r="L59" s="38">
        <f>+L55*Debt_Interest_Rate</f>
        <v>178.12800000000004</v>
      </c>
      <c r="N59" s="4"/>
      <c r="O59" s="4"/>
      <c r="P59" s="4"/>
      <c r="Q59" s="4"/>
      <c r="R59" s="4"/>
      <c r="S59" s="4"/>
      <c r="T59" s="4"/>
      <c r="U59" s="4"/>
      <c r="V59" s="4"/>
    </row>
    <row r="60" spans="1:22" ht="15.75" x14ac:dyDescent="0.25">
      <c r="A60" s="4"/>
      <c r="B60" s="4"/>
      <c r="C60" s="24" t="s">
        <v>93</v>
      </c>
      <c r="D60" s="28" t="s">
        <v>81</v>
      </c>
      <c r="E60" s="4"/>
      <c r="F60" s="4"/>
      <c r="G60" s="4"/>
      <c r="H60" s="38">
        <f>+G128*Cash_Interest_Rate</f>
        <v>15.450000000000001</v>
      </c>
      <c r="I60" s="38">
        <f>+H128*Cash_Interest_Rate</f>
        <v>11.866994031081765</v>
      </c>
      <c r="J60" s="38">
        <f>+I128*Cash_Interest_Rate</f>
        <v>8.8898595411791295</v>
      </c>
      <c r="K60" s="38">
        <f>+J128*Cash_Interest_Rate</f>
        <v>6.5886504578026077</v>
      </c>
      <c r="L60" s="38">
        <f>+K128*Cash_Interest_Rate</f>
        <v>4.3576150170608026</v>
      </c>
      <c r="N60" s="4"/>
      <c r="O60" s="4"/>
      <c r="P60" s="4"/>
      <c r="Q60" s="4"/>
      <c r="R60" s="4"/>
      <c r="S60" s="4"/>
      <c r="T60" s="4"/>
      <c r="U60" s="4"/>
      <c r="V60" s="4"/>
    </row>
    <row r="61" spans="1:22" ht="15.75" x14ac:dyDescent="0.25">
      <c r="A61" s="4"/>
      <c r="B61" s="4"/>
      <c r="C61" s="24"/>
      <c r="D61" s="28"/>
      <c r="E61" s="27"/>
      <c r="F61" s="27"/>
      <c r="G61" s="27"/>
      <c r="H61" s="27"/>
      <c r="I61" s="27"/>
      <c r="J61" s="27"/>
      <c r="K61" s="27"/>
      <c r="L61" s="27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x14ac:dyDescent="0.25">
      <c r="A62" s="4"/>
      <c r="B62" s="4"/>
      <c r="C62" s="24" t="s">
        <v>25</v>
      </c>
      <c r="D62" s="28" t="s">
        <v>81</v>
      </c>
      <c r="E62" s="27"/>
      <c r="F62" s="27"/>
      <c r="G62" s="27"/>
      <c r="H62" s="80">
        <v>0</v>
      </c>
      <c r="I62" s="80">
        <v>0</v>
      </c>
      <c r="J62" s="80">
        <v>0</v>
      </c>
      <c r="K62" s="80">
        <v>0</v>
      </c>
      <c r="L62" s="80">
        <v>0</v>
      </c>
      <c r="N62" s="4"/>
      <c r="O62" s="4"/>
      <c r="P62" s="4"/>
      <c r="Q62" s="4"/>
      <c r="R62" s="4"/>
      <c r="S62" s="4"/>
      <c r="T62" s="4"/>
      <c r="U62" s="4"/>
      <c r="V62" s="4"/>
    </row>
    <row r="63" spans="1:22" ht="15.75" x14ac:dyDescent="0.25">
      <c r="A63" s="4"/>
      <c r="B63" s="4"/>
      <c r="C63" s="24"/>
      <c r="D63" s="28"/>
      <c r="E63" s="27"/>
      <c r="F63" s="27"/>
      <c r="G63" s="27"/>
      <c r="H63" s="27"/>
      <c r="I63" s="27"/>
      <c r="J63" s="27"/>
      <c r="K63" s="27"/>
      <c r="L63" s="27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x14ac:dyDescent="0.25">
      <c r="A64" s="4"/>
      <c r="B64" s="23" t="s">
        <v>60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x14ac:dyDescent="0.25">
      <c r="A65" s="4"/>
      <c r="B65" s="4"/>
      <c r="C65" s="31" t="s">
        <v>106</v>
      </c>
      <c r="D65" s="28" t="s">
        <v>104</v>
      </c>
      <c r="E65" s="93">
        <f>+E129/E96*365</f>
        <v>61.070038910505829</v>
      </c>
      <c r="F65" s="93">
        <f t="shared" ref="F65:G65" si="8">+F129/F96*365</f>
        <v>57.784106600386636</v>
      </c>
      <c r="G65" s="93">
        <f t="shared" si="8"/>
        <v>59.984707198806412</v>
      </c>
      <c r="H65" s="103">
        <f>AVERAGE(E65:G65)</f>
        <v>59.612950903232957</v>
      </c>
      <c r="I65" s="103">
        <f>+H65</f>
        <v>59.612950903232957</v>
      </c>
      <c r="J65" s="103">
        <f t="shared" ref="J65:L65" si="9">+I65</f>
        <v>59.612950903232957</v>
      </c>
      <c r="K65" s="103">
        <f t="shared" si="9"/>
        <v>59.612950903232957</v>
      </c>
      <c r="L65" s="103">
        <f t="shared" si="9"/>
        <v>59.612950903232957</v>
      </c>
      <c r="N65" s="4"/>
      <c r="O65" s="4"/>
      <c r="P65" s="4"/>
      <c r="Q65" s="4"/>
      <c r="R65" s="4"/>
      <c r="S65" s="4"/>
      <c r="T65" s="4"/>
      <c r="U65" s="4"/>
      <c r="V65" s="4"/>
    </row>
    <row r="66" spans="1:22" ht="15.75" x14ac:dyDescent="0.25">
      <c r="A66" s="4"/>
      <c r="B66" s="4"/>
      <c r="C66" s="31" t="s">
        <v>105</v>
      </c>
      <c r="D66" s="28" t="s">
        <v>104</v>
      </c>
      <c r="E66" s="93">
        <f>+E130/E98*365</f>
        <v>53.20960953939678</v>
      </c>
      <c r="F66" s="93">
        <f t="shared" ref="F66:G66" si="10">+F130/F98*365</f>
        <v>49.659863945578238</v>
      </c>
      <c r="G66" s="93">
        <f t="shared" si="10"/>
        <v>50.252281947261658</v>
      </c>
      <c r="H66" s="94">
        <v>50</v>
      </c>
      <c r="I66" s="94">
        <v>49</v>
      </c>
      <c r="J66" s="94">
        <v>49</v>
      </c>
      <c r="K66" s="94">
        <v>48</v>
      </c>
      <c r="L66" s="94">
        <v>48</v>
      </c>
      <c r="N66" s="4"/>
      <c r="O66" s="4"/>
      <c r="P66" s="4"/>
      <c r="Q66" s="4"/>
      <c r="R66" s="4"/>
      <c r="S66" s="4"/>
      <c r="T66" s="4"/>
      <c r="U66" s="4"/>
      <c r="V66" s="4"/>
    </row>
    <row r="67" spans="1:22" ht="15.75" x14ac:dyDescent="0.25">
      <c r="A67" s="4"/>
      <c r="B67" s="4"/>
      <c r="C67" s="31" t="s">
        <v>107</v>
      </c>
      <c r="D67" s="28" t="s">
        <v>104</v>
      </c>
      <c r="E67" s="93">
        <f>+E145/E98*365</f>
        <v>27.052840776245031</v>
      </c>
      <c r="F67" s="93">
        <f t="shared" ref="F67:G67" si="11">+F145/F98*365</f>
        <v>21.547330796725468</v>
      </c>
      <c r="G67" s="93">
        <f t="shared" si="11"/>
        <v>20.776495943204868</v>
      </c>
      <c r="H67" s="94">
        <v>20</v>
      </c>
      <c r="I67" s="94">
        <v>19</v>
      </c>
      <c r="J67" s="94">
        <v>19</v>
      </c>
      <c r="K67" s="94">
        <v>18</v>
      </c>
      <c r="L67" s="94">
        <v>18</v>
      </c>
      <c r="N67" s="4"/>
      <c r="O67" s="4"/>
      <c r="P67" s="4"/>
      <c r="Q67" s="4"/>
      <c r="R67" s="4"/>
      <c r="S67" s="4"/>
      <c r="T67" s="4"/>
      <c r="U67" s="4"/>
      <c r="V67" s="4"/>
    </row>
    <row r="68" spans="1:22" ht="15.75" x14ac:dyDescent="0.25">
      <c r="A68" s="4"/>
      <c r="B68" s="4"/>
      <c r="C68" s="31"/>
      <c r="D68" s="25"/>
      <c r="E68" s="26"/>
      <c r="F68" s="26"/>
      <c r="G68" s="26"/>
      <c r="H68" s="26"/>
      <c r="I68" s="26"/>
      <c r="J68" s="26"/>
      <c r="K68" s="26"/>
      <c r="L68" s="26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x14ac:dyDescent="0.25">
      <c r="A69" s="4"/>
      <c r="B69" s="4"/>
      <c r="C69" s="31" t="s">
        <v>127</v>
      </c>
      <c r="D69" s="25" t="s">
        <v>63</v>
      </c>
      <c r="E69" s="75">
        <f>+E131/E103</f>
        <v>0.9186500888099467</v>
      </c>
      <c r="F69" s="75">
        <f t="shared" ref="F69:G69" si="12">+F131/F103</f>
        <v>0.14973861090365945</v>
      </c>
      <c r="G69" s="75">
        <f t="shared" si="12"/>
        <v>0.14108398841539099</v>
      </c>
      <c r="H69" s="76">
        <v>0.13</v>
      </c>
      <c r="I69" s="76">
        <v>0.13</v>
      </c>
      <c r="J69" s="76">
        <v>0.12</v>
      </c>
      <c r="K69" s="76">
        <v>0.12</v>
      </c>
      <c r="L69" s="76">
        <v>0.11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 ht="14.45" customHeight="1" x14ac:dyDescent="0.25">
      <c r="A70" s="4"/>
      <c r="B70" s="4"/>
      <c r="C70" s="24" t="s">
        <v>108</v>
      </c>
      <c r="D70" s="25" t="s">
        <v>63</v>
      </c>
      <c r="E70" s="75">
        <f>+E138/E96</f>
        <v>0.11008135833038557</v>
      </c>
      <c r="F70" s="75">
        <f t="shared" ref="F70:G70" si="13">+F138/F96</f>
        <v>0.1000414250207125</v>
      </c>
      <c r="G70" s="75">
        <f t="shared" si="13"/>
        <v>0.10690041029466617</v>
      </c>
      <c r="H70" s="77">
        <f>AVERAGE(E70:G70)</f>
        <v>0.10567439788192141</v>
      </c>
      <c r="I70" s="77">
        <f>+H70</f>
        <v>0.10567439788192141</v>
      </c>
      <c r="J70" s="77">
        <f t="shared" ref="J70:L70" si="14">+I70</f>
        <v>0.10567439788192141</v>
      </c>
      <c r="K70" s="77">
        <f t="shared" si="14"/>
        <v>0.10567439788192141</v>
      </c>
      <c r="L70" s="77">
        <f t="shared" si="14"/>
        <v>0.10567439788192141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 ht="15.75" x14ac:dyDescent="0.25">
      <c r="A71" s="4"/>
      <c r="B71" s="4"/>
      <c r="C71" s="31" t="s">
        <v>128</v>
      </c>
      <c r="D71" s="25" t="s">
        <v>63</v>
      </c>
      <c r="E71" s="75">
        <f>+E146/E103</f>
        <v>0.45186500888099468</v>
      </c>
      <c r="F71" s="75">
        <f t="shared" ref="F71:G71" si="15">+F146/F103</f>
        <v>0.48058252427184467</v>
      </c>
      <c r="G71" s="75">
        <f t="shared" si="15"/>
        <v>0.47000413736036406</v>
      </c>
      <c r="H71" s="77">
        <f>AVERAGE(E71:G71)</f>
        <v>0.46748389017106778</v>
      </c>
      <c r="I71" s="77">
        <f>+H71</f>
        <v>0.46748389017106778</v>
      </c>
      <c r="J71" s="77">
        <f t="shared" ref="J71:L71" si="16">+I71</f>
        <v>0.46748389017106778</v>
      </c>
      <c r="K71" s="77">
        <f t="shared" si="16"/>
        <v>0.46748389017106778</v>
      </c>
      <c r="L71" s="77">
        <f t="shared" si="16"/>
        <v>0.46748389017106778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 ht="15.75" x14ac:dyDescent="0.25">
      <c r="A72" s="4"/>
      <c r="B72" s="4"/>
      <c r="C72" s="31"/>
      <c r="D72" s="25"/>
      <c r="E72" s="26"/>
      <c r="F72" s="26"/>
      <c r="G72" s="26"/>
      <c r="H72" s="75"/>
      <c r="I72" s="4"/>
      <c r="J72" s="4"/>
      <c r="K72" s="4"/>
      <c r="L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x14ac:dyDescent="0.25">
      <c r="A73" s="4"/>
      <c r="B73" s="4"/>
      <c r="C73" s="31" t="s">
        <v>129</v>
      </c>
      <c r="D73" s="25" t="s">
        <v>63</v>
      </c>
      <c r="E73" s="75">
        <f>+E147/E103</f>
        <v>0.20497335701598579</v>
      </c>
      <c r="F73" s="75">
        <f t="shared" ref="F73:G73" si="17">+F147/F103</f>
        <v>9.3353248693054516E-2</v>
      </c>
      <c r="G73" s="75">
        <f t="shared" si="17"/>
        <v>0.1063301613570542</v>
      </c>
      <c r="H73" s="76">
        <v>0.1</v>
      </c>
      <c r="I73" s="76">
        <v>0.1</v>
      </c>
      <c r="J73" s="76">
        <v>0.1</v>
      </c>
      <c r="K73" s="76">
        <v>0.1</v>
      </c>
      <c r="L73" s="76">
        <v>0.1</v>
      </c>
      <c r="N73" s="4"/>
      <c r="O73" s="4"/>
      <c r="P73" s="4"/>
      <c r="Q73" s="4"/>
      <c r="R73" s="4"/>
      <c r="S73" s="4"/>
      <c r="T73" s="4"/>
      <c r="U73" s="4"/>
      <c r="V73" s="4"/>
    </row>
    <row r="74" spans="1:22" ht="15.75" x14ac:dyDescent="0.25">
      <c r="A74" s="4"/>
      <c r="B74" s="4"/>
      <c r="C74" s="31" t="s">
        <v>130</v>
      </c>
      <c r="D74" s="25" t="s">
        <v>63</v>
      </c>
      <c r="E74" s="75">
        <f>+E153/E103</f>
        <v>0.32788632326820605</v>
      </c>
      <c r="F74" s="75">
        <f t="shared" ref="F74:G74" si="18">+F153/F103</f>
        <v>0.37415982076176252</v>
      </c>
      <c r="G74" s="75">
        <f t="shared" si="18"/>
        <v>0.40587505171700455</v>
      </c>
      <c r="H74" s="77">
        <f>AVERAGE(E74:G74)</f>
        <v>0.36930706524899098</v>
      </c>
      <c r="I74" s="77">
        <f>+H74</f>
        <v>0.36930706524899098</v>
      </c>
      <c r="J74" s="77">
        <f t="shared" ref="J74:L74" si="19">+I74</f>
        <v>0.36930706524899098</v>
      </c>
      <c r="K74" s="77">
        <f t="shared" si="19"/>
        <v>0.36930706524899098</v>
      </c>
      <c r="L74" s="77">
        <f t="shared" si="19"/>
        <v>0.36930706524899098</v>
      </c>
      <c r="N74" s="4"/>
      <c r="O74" s="4"/>
      <c r="P74" s="4"/>
      <c r="Q74" s="4"/>
      <c r="R74" s="4"/>
      <c r="S74" s="4"/>
      <c r="T74" s="4"/>
      <c r="U74" s="4"/>
      <c r="V74" s="4"/>
    </row>
    <row r="75" spans="1:22" ht="15.75" x14ac:dyDescent="0.25">
      <c r="A75" s="4"/>
      <c r="B75" s="4"/>
      <c r="C75" s="31"/>
      <c r="D75" s="25"/>
      <c r="E75" s="26"/>
      <c r="F75" s="26"/>
      <c r="G75" s="26"/>
      <c r="H75" s="4"/>
      <c r="I75" s="4"/>
      <c r="J75" s="4"/>
      <c r="K75" s="4"/>
      <c r="L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x14ac:dyDescent="0.25">
      <c r="A76" s="4"/>
      <c r="B76" s="23" t="s">
        <v>61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x14ac:dyDescent="0.25">
      <c r="A77" s="4"/>
      <c r="B77" s="4"/>
      <c r="C77" s="30" t="s">
        <v>84</v>
      </c>
      <c r="D77" s="28" t="s">
        <v>81</v>
      </c>
      <c r="E77" s="75"/>
      <c r="F77" s="75"/>
      <c r="G77" s="75"/>
      <c r="H77" s="80">
        <v>-285</v>
      </c>
      <c r="I77" s="80">
        <v>-325</v>
      </c>
      <c r="J77" s="80">
        <v>-375</v>
      </c>
      <c r="K77" s="80">
        <v>-425</v>
      </c>
      <c r="L77" s="80">
        <v>-475</v>
      </c>
      <c r="N77" s="4"/>
      <c r="O77" s="4"/>
      <c r="P77" s="4"/>
      <c r="Q77" s="4"/>
      <c r="R77" s="4"/>
      <c r="S77" s="4"/>
      <c r="T77" s="4"/>
      <c r="U77" s="4"/>
      <c r="V77" s="4"/>
    </row>
    <row r="78" spans="1:22" ht="15.75" x14ac:dyDescent="0.25">
      <c r="A78" s="4"/>
      <c r="B78" s="4"/>
      <c r="C78" s="24" t="s">
        <v>103</v>
      </c>
      <c r="D78" s="28" t="s">
        <v>63</v>
      </c>
      <c r="E78" s="75">
        <f>+E170/E96</f>
        <v>2.1153165900247611E-2</v>
      </c>
      <c r="F78" s="75">
        <f t="shared" ref="F78:G78" si="20">+F170/F96</f>
        <v>1.8088925711129522E-2</v>
      </c>
      <c r="G78" s="75">
        <f t="shared" si="20"/>
        <v>1.8202163371876166E-2</v>
      </c>
      <c r="H78" s="76">
        <v>1.7000000000000001E-2</v>
      </c>
      <c r="I78" s="76">
        <v>1.7999999999999999E-2</v>
      </c>
      <c r="J78" s="76">
        <v>1.9E-2</v>
      </c>
      <c r="K78" s="76">
        <v>0.02</v>
      </c>
      <c r="L78" s="76">
        <v>2.1000000000000001E-2</v>
      </c>
      <c r="N78" s="4"/>
      <c r="O78" s="4"/>
      <c r="P78" s="4"/>
      <c r="Q78" s="4"/>
      <c r="R78" s="4"/>
      <c r="S78" s="4"/>
      <c r="T78" s="4"/>
      <c r="U78" s="4"/>
      <c r="V78" s="4"/>
    </row>
    <row r="79" spans="1:22" ht="15.75" x14ac:dyDescent="0.25">
      <c r="A79" s="4"/>
      <c r="B79" s="4"/>
      <c r="C79" s="30"/>
      <c r="D79" s="30"/>
      <c r="E79" s="30"/>
      <c r="F79" s="30"/>
      <c r="G79" s="30"/>
      <c r="H79" s="30"/>
      <c r="I79" s="30"/>
      <c r="J79" s="30"/>
      <c r="K79" s="30"/>
      <c r="L79" s="30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x14ac:dyDescent="0.25">
      <c r="A80" s="4"/>
      <c r="B80" s="4"/>
      <c r="C80" s="24" t="s">
        <v>113</v>
      </c>
      <c r="D80" s="25" t="s">
        <v>63</v>
      </c>
      <c r="E80" s="75">
        <f>+E174/E96</f>
        <v>2.6176158471878318E-3</v>
      </c>
      <c r="F80" s="75">
        <f t="shared" ref="F80:G80" si="21">+F174/F96</f>
        <v>2.6926263463131731E-3</v>
      </c>
      <c r="G80" s="75">
        <f t="shared" si="21"/>
        <v>3.0585602387168966E-3</v>
      </c>
      <c r="H80" s="77">
        <f>AVERAGE(E80:G80)</f>
        <v>2.7896008107393005E-3</v>
      </c>
      <c r="I80" s="77">
        <f>+H80</f>
        <v>2.7896008107393005E-3</v>
      </c>
      <c r="J80" s="77">
        <f t="shared" ref="J80:L80" si="22">+I80</f>
        <v>2.7896008107393005E-3</v>
      </c>
      <c r="K80" s="77">
        <f t="shared" si="22"/>
        <v>2.7896008107393005E-3</v>
      </c>
      <c r="L80" s="77">
        <f t="shared" si="22"/>
        <v>2.7896008107393005E-3</v>
      </c>
      <c r="N80" s="4"/>
      <c r="O80" s="4"/>
      <c r="P80" s="4"/>
      <c r="Q80" s="4"/>
      <c r="R80" s="4"/>
      <c r="S80" s="4"/>
      <c r="T80" s="4"/>
      <c r="U80" s="4"/>
      <c r="V80" s="4"/>
    </row>
    <row r="81" spans="1:22" ht="15.75" x14ac:dyDescent="0.25">
      <c r="A81" s="4"/>
      <c r="B81" s="4"/>
      <c r="C81" s="30"/>
      <c r="D81" s="30"/>
      <c r="E81" s="30"/>
      <c r="F81" s="30"/>
      <c r="G81" s="30"/>
      <c r="H81" s="30"/>
      <c r="I81" s="30"/>
      <c r="J81" s="30"/>
      <c r="K81" s="30"/>
      <c r="L81" s="30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x14ac:dyDescent="0.25">
      <c r="A82" s="4"/>
      <c r="B82" s="4"/>
      <c r="C82" s="95" t="s">
        <v>118</v>
      </c>
      <c r="D82" s="25" t="s">
        <v>63</v>
      </c>
      <c r="E82" s="75">
        <f>-E173/E117</f>
        <v>8.368200836820083E-3</v>
      </c>
      <c r="F82" s="75">
        <f t="shared" ref="F82:G82" si="23">-F173/F117</f>
        <v>6.7985166872682329E-2</v>
      </c>
      <c r="G82" s="75">
        <f t="shared" si="23"/>
        <v>-1.3414634146341463E-2</v>
      </c>
      <c r="H82" s="77">
        <f>AVERAGE(E82:G82)</f>
        <v>2.0979577854386981E-2</v>
      </c>
      <c r="I82" s="77">
        <f>+H82</f>
        <v>2.0979577854386981E-2</v>
      </c>
      <c r="J82" s="77">
        <f t="shared" ref="J82:L83" si="24">+I82</f>
        <v>2.0979577854386981E-2</v>
      </c>
      <c r="K82" s="77">
        <f t="shared" si="24"/>
        <v>2.0979577854386981E-2</v>
      </c>
      <c r="L82" s="77">
        <f t="shared" si="24"/>
        <v>2.0979577854386981E-2</v>
      </c>
      <c r="N82" s="4"/>
      <c r="O82" s="4"/>
      <c r="P82" s="4"/>
      <c r="Q82" s="4"/>
      <c r="R82" s="4"/>
      <c r="S82" s="4"/>
      <c r="T82" s="4"/>
      <c r="U82" s="4"/>
      <c r="V82" s="4"/>
    </row>
    <row r="83" spans="1:22" ht="15.75" x14ac:dyDescent="0.25">
      <c r="A83" s="4"/>
      <c r="B83" s="4"/>
      <c r="C83" s="24" t="s">
        <v>102</v>
      </c>
      <c r="D83" s="25" t="s">
        <v>63</v>
      </c>
      <c r="E83" s="75">
        <f>-E191/E122</f>
        <v>0.31447290053603333</v>
      </c>
      <c r="F83" s="75">
        <f t="shared" ref="F83:G83" si="25">-F191/F122</f>
        <v>0.24134419551934827</v>
      </c>
      <c r="G83" s="75">
        <f t="shared" si="25"/>
        <v>0.39073196419167983</v>
      </c>
      <c r="H83" s="77">
        <f>AVERAGE(E83:G83)</f>
        <v>0.31551635341568712</v>
      </c>
      <c r="I83" s="77">
        <f>+H83</f>
        <v>0.31551635341568712</v>
      </c>
      <c r="J83" s="77">
        <f t="shared" si="24"/>
        <v>0.31551635341568712</v>
      </c>
      <c r="K83" s="77">
        <f t="shared" si="24"/>
        <v>0.31551635341568712</v>
      </c>
      <c r="L83" s="77">
        <f t="shared" si="24"/>
        <v>0.31551635341568712</v>
      </c>
      <c r="N83" s="4"/>
      <c r="O83" s="4"/>
      <c r="P83" s="4"/>
      <c r="Q83" s="4"/>
      <c r="R83" s="4"/>
      <c r="S83" s="4"/>
      <c r="T83" s="4"/>
      <c r="U83" s="4"/>
      <c r="V83" s="4"/>
    </row>
    <row r="84" spans="1:22" ht="15.75" x14ac:dyDescent="0.25">
      <c r="A84" s="4"/>
      <c r="B84" s="4"/>
      <c r="C84" s="14"/>
      <c r="D84" s="4"/>
      <c r="E84" s="4"/>
      <c r="F84" s="4"/>
      <c r="G84" s="4"/>
      <c r="H84" s="4"/>
      <c r="I84" s="4"/>
      <c r="J84" s="4"/>
      <c r="K84" s="4"/>
      <c r="L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x14ac:dyDescent="0.25">
      <c r="A85" s="4"/>
      <c r="B85" s="4"/>
      <c r="C85" s="24" t="s">
        <v>85</v>
      </c>
      <c r="D85" s="28" t="s">
        <v>81</v>
      </c>
      <c r="E85" s="29">
        <f t="shared" ref="E85:G85" si="26">-E192</f>
        <v>1900</v>
      </c>
      <c r="F85" s="29">
        <f t="shared" si="26"/>
        <v>4198</v>
      </c>
      <c r="G85" s="29">
        <f t="shared" si="26"/>
        <v>1943</v>
      </c>
      <c r="H85" s="80">
        <v>1000</v>
      </c>
      <c r="I85" s="99">
        <f>+H85</f>
        <v>1000</v>
      </c>
      <c r="J85" s="99">
        <f t="shared" ref="J85:L85" si="27">+I85</f>
        <v>1000</v>
      </c>
      <c r="K85" s="99">
        <f t="shared" si="27"/>
        <v>1000</v>
      </c>
      <c r="L85" s="99">
        <f t="shared" si="27"/>
        <v>1000</v>
      </c>
      <c r="N85" s="4"/>
      <c r="O85" s="4"/>
      <c r="P85" s="4"/>
      <c r="Q85" s="4"/>
      <c r="R85" s="4"/>
      <c r="S85" s="4"/>
      <c r="T85" s="4"/>
      <c r="U85" s="4"/>
      <c r="V85" s="4"/>
    </row>
    <row r="86" spans="1:22" ht="15.75" x14ac:dyDescent="0.25">
      <c r="A86" s="4"/>
      <c r="B86" s="4"/>
      <c r="C86" s="30"/>
      <c r="D86" s="28"/>
      <c r="E86" s="32"/>
      <c r="F86" s="32"/>
      <c r="G86" s="32"/>
      <c r="H86" s="4"/>
      <c r="I86" s="4"/>
      <c r="J86" s="4"/>
      <c r="K86" s="4"/>
      <c r="L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x14ac:dyDescent="0.25">
      <c r="A87" s="4"/>
      <c r="B87" s="4"/>
      <c r="C87" s="30" t="s">
        <v>119</v>
      </c>
      <c r="D87" s="28" t="s">
        <v>81</v>
      </c>
      <c r="E87" s="32"/>
      <c r="F87" s="32"/>
      <c r="G87" s="32"/>
      <c r="H87" s="80">
        <v>0</v>
      </c>
      <c r="I87" s="80">
        <v>0</v>
      </c>
      <c r="J87" s="80">
        <v>0</v>
      </c>
      <c r="K87" s="80">
        <v>0</v>
      </c>
      <c r="L87" s="80">
        <v>0</v>
      </c>
      <c r="N87" s="4"/>
      <c r="O87" s="4"/>
      <c r="P87" s="4"/>
      <c r="Q87" s="4"/>
      <c r="R87" s="4"/>
      <c r="S87" s="4"/>
      <c r="T87" s="4"/>
      <c r="U87" s="4"/>
      <c r="V87" s="4"/>
    </row>
    <row r="88" spans="1:22" ht="15.75" x14ac:dyDescent="0.25">
      <c r="A88" s="4"/>
      <c r="B88" s="4"/>
      <c r="C88" s="30" t="s">
        <v>115</v>
      </c>
      <c r="D88" s="28" t="s">
        <v>81</v>
      </c>
      <c r="E88" s="32"/>
      <c r="F88" s="32"/>
      <c r="G88" s="32"/>
      <c r="H88" s="80">
        <v>0</v>
      </c>
      <c r="I88" s="80">
        <v>0</v>
      </c>
      <c r="J88" s="80">
        <v>0</v>
      </c>
      <c r="K88" s="80">
        <v>0</v>
      </c>
      <c r="L88" s="80">
        <v>0</v>
      </c>
      <c r="N88" s="4"/>
      <c r="O88" s="4"/>
      <c r="P88" s="4"/>
      <c r="Q88" s="4"/>
      <c r="R88" s="4"/>
      <c r="S88" s="4"/>
      <c r="T88" s="4"/>
      <c r="U88" s="4"/>
      <c r="V88" s="4"/>
    </row>
    <row r="89" spans="1:22" ht="15.75" x14ac:dyDescent="0.25">
      <c r="A89" s="4"/>
      <c r="B89" s="4"/>
      <c r="C89" s="30" t="s">
        <v>116</v>
      </c>
      <c r="D89" s="28" t="s">
        <v>81</v>
      </c>
      <c r="E89" s="32"/>
      <c r="F89" s="32"/>
      <c r="G89" s="32"/>
      <c r="H89" s="80">
        <v>0</v>
      </c>
      <c r="I89" s="80">
        <v>0</v>
      </c>
      <c r="J89" s="80">
        <v>0</v>
      </c>
      <c r="K89" s="80">
        <v>0</v>
      </c>
      <c r="L89" s="80">
        <v>0</v>
      </c>
      <c r="N89" s="4"/>
      <c r="O89" s="4"/>
      <c r="P89" s="4"/>
      <c r="Q89" s="4"/>
      <c r="R89" s="4"/>
      <c r="S89" s="4"/>
      <c r="T89" s="4"/>
      <c r="U89" s="4"/>
      <c r="V89" s="4"/>
    </row>
    <row r="90" spans="1:22" ht="15.75" x14ac:dyDescent="0.25">
      <c r="A90" s="4"/>
      <c r="B90" s="4"/>
      <c r="C90" s="30"/>
      <c r="D90" s="28"/>
      <c r="E90" s="32"/>
      <c r="F90" s="32"/>
      <c r="G90" s="32"/>
      <c r="H90" s="4"/>
      <c r="I90" s="4"/>
      <c r="J90" s="4"/>
      <c r="K90" s="4"/>
      <c r="L90" s="4"/>
    </row>
    <row r="91" spans="1:22" ht="15.75" x14ac:dyDescent="0.25">
      <c r="A91" s="4"/>
      <c r="B91" s="4"/>
      <c r="C91" s="30" t="s">
        <v>114</v>
      </c>
      <c r="D91" s="28" t="s">
        <v>63</v>
      </c>
      <c r="E91" s="75">
        <f>+E197/E96</f>
        <v>-6.5794128050937388E-3</v>
      </c>
      <c r="F91" s="75">
        <f t="shared" ref="F91:G91" si="28">+F197/F96</f>
        <v>-3.6937310135321734E-2</v>
      </c>
      <c r="G91" s="75">
        <f t="shared" si="28"/>
        <v>-3.4539350988437148E-2</v>
      </c>
      <c r="H91" s="77">
        <f>AVERAGE(E91:G91)</f>
        <v>-2.601869130961754E-2</v>
      </c>
      <c r="I91" s="77">
        <f>+H91</f>
        <v>-2.601869130961754E-2</v>
      </c>
      <c r="J91" s="77">
        <f t="shared" ref="J91:L91" si="29">+I91</f>
        <v>-2.601869130961754E-2</v>
      </c>
      <c r="K91" s="77">
        <f t="shared" si="29"/>
        <v>-2.601869130961754E-2</v>
      </c>
      <c r="L91" s="77">
        <f t="shared" si="29"/>
        <v>-2.601869130961754E-2</v>
      </c>
    </row>
    <row r="92" spans="1:22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22" ht="15.75" x14ac:dyDescent="0.25">
      <c r="A93" s="4"/>
      <c r="B93" s="17"/>
      <c r="C93" s="17"/>
      <c r="D93" s="17"/>
      <c r="E93" s="18" t="str">
        <f>$E$43</f>
        <v>Historical</v>
      </c>
      <c r="F93" s="18"/>
      <c r="G93" s="18"/>
      <c r="H93" s="19" t="str">
        <f>$H$43</f>
        <v>Projected</v>
      </c>
      <c r="I93" s="18"/>
      <c r="J93" s="18"/>
      <c r="K93" s="18"/>
      <c r="L93" s="18"/>
    </row>
    <row r="94" spans="1:22" ht="15.75" x14ac:dyDescent="0.25">
      <c r="A94" s="4"/>
      <c r="B94" s="81" t="s">
        <v>7</v>
      </c>
      <c r="C94" s="81"/>
      <c r="D94" s="82" t="str">
        <f>$D$44</f>
        <v>Units:</v>
      </c>
      <c r="E94" s="83">
        <f>$E$44</f>
        <v>41639</v>
      </c>
      <c r="F94" s="83">
        <f>$F$44</f>
        <v>42004</v>
      </c>
      <c r="G94" s="83">
        <f>$G$44</f>
        <v>42369</v>
      </c>
      <c r="H94" s="84">
        <f>$H$44</f>
        <v>42735</v>
      </c>
      <c r="I94" s="83">
        <f>$I$44</f>
        <v>43100</v>
      </c>
      <c r="J94" s="83">
        <f>$J$44</f>
        <v>43465</v>
      </c>
      <c r="K94" s="83">
        <f>$K$44</f>
        <v>43830</v>
      </c>
      <c r="L94" s="83">
        <f>$L$44</f>
        <v>44196</v>
      </c>
    </row>
    <row r="95" spans="1:22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22" ht="15.75" x14ac:dyDescent="0.25">
      <c r="A96" s="4"/>
      <c r="B96" s="4"/>
      <c r="C96" s="5" t="s">
        <v>30</v>
      </c>
      <c r="D96" s="28" t="s">
        <v>81</v>
      </c>
      <c r="E96" s="100">
        <v>14135</v>
      </c>
      <c r="F96" s="100">
        <v>14484</v>
      </c>
      <c r="G96" s="100">
        <v>13405</v>
      </c>
      <c r="H96" s="53">
        <f>+G96*(1+H46)</f>
        <v>14075.25</v>
      </c>
      <c r="I96" s="53">
        <f t="shared" ref="I96:L96" si="30">+H96*(1+I46)</f>
        <v>14638.26</v>
      </c>
      <c r="J96" s="53">
        <f t="shared" si="30"/>
        <v>15223.7904</v>
      </c>
      <c r="K96" s="53">
        <f t="shared" si="30"/>
        <v>15680.504112000001</v>
      </c>
      <c r="L96" s="53">
        <f t="shared" si="30"/>
        <v>16150.919235360001</v>
      </c>
    </row>
    <row r="97" spans="1:12" ht="15.75" x14ac:dyDescent="0.25">
      <c r="A97" s="4"/>
      <c r="B97" s="4"/>
      <c r="C97" s="4"/>
      <c r="D97" s="4"/>
      <c r="E97" s="35"/>
      <c r="F97" s="35"/>
      <c r="G97" s="35"/>
      <c r="H97" s="29"/>
      <c r="I97" s="29"/>
      <c r="J97" s="29"/>
      <c r="K97" s="29"/>
      <c r="L97" s="29"/>
    </row>
    <row r="98" spans="1:12" ht="15.75" x14ac:dyDescent="0.25">
      <c r="A98" s="4"/>
      <c r="B98" s="4"/>
      <c r="C98" s="36" t="s">
        <v>67</v>
      </c>
      <c r="D98" s="28" t="s">
        <v>81</v>
      </c>
      <c r="E98" s="37">
        <v>8554</v>
      </c>
      <c r="F98" s="37">
        <v>8673</v>
      </c>
      <c r="G98" s="37">
        <v>7888</v>
      </c>
      <c r="H98" s="38">
        <f>+H96*(1-H47)</f>
        <v>8240.17425</v>
      </c>
      <c r="I98" s="38">
        <f t="shared" ref="I98:L98" si="31">+I96*(1-I47)</f>
        <v>8525.8664399999998</v>
      </c>
      <c r="J98" s="38">
        <f t="shared" si="31"/>
        <v>8821.2297264000008</v>
      </c>
      <c r="K98" s="38">
        <f t="shared" si="31"/>
        <v>9038.8251058559981</v>
      </c>
      <c r="L98" s="38">
        <f t="shared" si="31"/>
        <v>9261.5371013256008</v>
      </c>
    </row>
    <row r="99" spans="1:12" ht="15.75" x14ac:dyDescent="0.25">
      <c r="A99" s="4"/>
      <c r="B99" s="4"/>
      <c r="C99" s="36"/>
      <c r="D99" s="36"/>
      <c r="E99" s="37"/>
      <c r="F99" s="37"/>
      <c r="G99" s="37"/>
      <c r="H99" s="38"/>
      <c r="I99" s="38"/>
      <c r="J99" s="38"/>
      <c r="K99" s="38"/>
      <c r="L99" s="38"/>
    </row>
    <row r="100" spans="1:12" ht="15.75" x14ac:dyDescent="0.25">
      <c r="A100" s="4"/>
      <c r="B100" s="4"/>
      <c r="C100" s="39" t="s">
        <v>8</v>
      </c>
      <c r="D100" s="28" t="s">
        <v>81</v>
      </c>
      <c r="E100" s="104">
        <v>5581</v>
      </c>
      <c r="F100" s="104">
        <v>5811</v>
      </c>
      <c r="G100" s="104">
        <v>5517</v>
      </c>
      <c r="H100" s="113">
        <f>+H96-H98</f>
        <v>5835.07575</v>
      </c>
      <c r="I100" s="113">
        <f t="shared" ref="I100:L100" si="32">+I96-I98</f>
        <v>6112.3935600000004</v>
      </c>
      <c r="J100" s="113">
        <f t="shared" si="32"/>
        <v>6402.5606735999991</v>
      </c>
      <c r="K100" s="113">
        <f t="shared" si="32"/>
        <v>6641.6790061440024</v>
      </c>
      <c r="L100" s="113">
        <f t="shared" si="32"/>
        <v>6889.3821340344002</v>
      </c>
    </row>
    <row r="101" spans="1:12" ht="15.75" x14ac:dyDescent="0.25">
      <c r="A101" s="4"/>
      <c r="B101" s="4"/>
      <c r="C101" s="34"/>
      <c r="D101" s="4"/>
      <c r="E101" s="41"/>
      <c r="F101" s="41"/>
      <c r="G101" s="41"/>
      <c r="H101" s="29"/>
      <c r="I101" s="29"/>
      <c r="J101" s="29"/>
      <c r="K101" s="29"/>
      <c r="L101" s="29"/>
    </row>
    <row r="102" spans="1:12" ht="15.75" x14ac:dyDescent="0.25">
      <c r="A102" s="4"/>
      <c r="B102" s="4"/>
      <c r="C102" s="5" t="s">
        <v>78</v>
      </c>
      <c r="D102" s="4"/>
      <c r="E102" s="29"/>
      <c r="F102" s="29"/>
      <c r="G102" s="29"/>
      <c r="H102" s="29"/>
      <c r="I102" s="29"/>
      <c r="J102" s="29"/>
      <c r="K102" s="29"/>
      <c r="L102" s="29"/>
    </row>
    <row r="103" spans="1:12" ht="15.75" x14ac:dyDescent="0.25">
      <c r="A103" s="4"/>
      <c r="B103" s="4"/>
      <c r="C103" s="24" t="s">
        <v>97</v>
      </c>
      <c r="D103" s="28" t="s">
        <v>81</v>
      </c>
      <c r="E103" s="37">
        <v>2815</v>
      </c>
      <c r="F103" s="37">
        <v>2678</v>
      </c>
      <c r="G103" s="37">
        <v>2417</v>
      </c>
      <c r="H103" s="38">
        <f>+H96*H48</f>
        <v>2533.5450000000001</v>
      </c>
      <c r="I103" s="38">
        <f t="shared" ref="I103:L103" si="33">+I96*I48</f>
        <v>2561.6954999999998</v>
      </c>
      <c r="J103" s="38">
        <f t="shared" si="33"/>
        <v>2664.1633199999997</v>
      </c>
      <c r="K103" s="38">
        <f t="shared" si="33"/>
        <v>2665.6856990400001</v>
      </c>
      <c r="L103" s="38">
        <f t="shared" si="33"/>
        <v>2745.6562700112004</v>
      </c>
    </row>
    <row r="104" spans="1:12" ht="15.75" x14ac:dyDescent="0.25">
      <c r="A104" s="4"/>
      <c r="B104" s="4"/>
      <c r="C104" s="42" t="s">
        <v>98</v>
      </c>
      <c r="D104" s="28" t="s">
        <v>81</v>
      </c>
      <c r="E104" s="37">
        <v>250</v>
      </c>
      <c r="F104" s="37">
        <v>242</v>
      </c>
      <c r="G104" s="37">
        <v>231</v>
      </c>
      <c r="H104" s="38">
        <f>+H50</f>
        <v>217</v>
      </c>
      <c r="I104" s="38">
        <f t="shared" ref="I104:L104" si="34">+I50</f>
        <v>196</v>
      </c>
      <c r="J104" s="38">
        <f t="shared" si="34"/>
        <v>175</v>
      </c>
      <c r="K104" s="38">
        <f t="shared" si="34"/>
        <v>153</v>
      </c>
      <c r="L104" s="38">
        <f t="shared" si="34"/>
        <v>134</v>
      </c>
    </row>
    <row r="105" spans="1:12" ht="15.75" x14ac:dyDescent="0.25">
      <c r="A105" s="4"/>
      <c r="B105" s="4"/>
      <c r="C105" s="43" t="s">
        <v>95</v>
      </c>
      <c r="D105" s="90" t="s">
        <v>81</v>
      </c>
      <c r="E105" s="44">
        <v>2</v>
      </c>
      <c r="F105" s="44">
        <v>3</v>
      </c>
      <c r="G105" s="44">
        <v>2</v>
      </c>
      <c r="H105" s="45">
        <f t="shared" ref="H105:L105" si="35">+H51</f>
        <v>0</v>
      </c>
      <c r="I105" s="45">
        <f t="shared" si="35"/>
        <v>0</v>
      </c>
      <c r="J105" s="45">
        <f t="shared" si="35"/>
        <v>0</v>
      </c>
      <c r="K105" s="45">
        <f t="shared" si="35"/>
        <v>0</v>
      </c>
      <c r="L105" s="45">
        <f t="shared" si="35"/>
        <v>0</v>
      </c>
    </row>
    <row r="106" spans="1:12" ht="15.75" x14ac:dyDescent="0.25">
      <c r="A106" s="4"/>
      <c r="B106" s="4"/>
      <c r="C106" s="46" t="s">
        <v>79</v>
      </c>
      <c r="D106" s="28" t="s">
        <v>81</v>
      </c>
      <c r="E106" s="105">
        <v>3067</v>
      </c>
      <c r="F106" s="105">
        <v>2923</v>
      </c>
      <c r="G106" s="105">
        <v>2650</v>
      </c>
      <c r="H106" s="47">
        <f>SUM(H103:H105)</f>
        <v>2750.5450000000001</v>
      </c>
      <c r="I106" s="47">
        <f t="shared" ref="I106:L106" si="36">SUM(I103:I105)</f>
        <v>2757.6954999999998</v>
      </c>
      <c r="J106" s="47">
        <f t="shared" si="36"/>
        <v>2839.1633199999997</v>
      </c>
      <c r="K106" s="47">
        <f t="shared" si="36"/>
        <v>2818.6856990400001</v>
      </c>
      <c r="L106" s="47">
        <f t="shared" si="36"/>
        <v>2879.6562700112004</v>
      </c>
    </row>
    <row r="107" spans="1:12" ht="15.75" x14ac:dyDescent="0.25">
      <c r="A107" s="4"/>
      <c r="B107" s="4"/>
      <c r="C107" s="48"/>
      <c r="D107" s="36"/>
      <c r="E107" s="37"/>
      <c r="F107" s="37"/>
      <c r="G107" s="37"/>
      <c r="H107" s="38"/>
      <c r="I107" s="38"/>
      <c r="J107" s="38"/>
      <c r="K107" s="38"/>
      <c r="L107" s="38"/>
    </row>
    <row r="108" spans="1:12" ht="15.75" x14ac:dyDescent="0.25">
      <c r="A108" s="4"/>
      <c r="B108" s="4"/>
      <c r="C108" s="39" t="s">
        <v>31</v>
      </c>
      <c r="D108" s="28" t="s">
        <v>81</v>
      </c>
      <c r="E108" s="104">
        <v>2514</v>
      </c>
      <c r="F108" s="104">
        <v>2888</v>
      </c>
      <c r="G108" s="104">
        <v>2867</v>
      </c>
      <c r="H108" s="40">
        <f>+H100-H106</f>
        <v>3084.5307499999999</v>
      </c>
      <c r="I108" s="40">
        <f t="shared" ref="I108:L108" si="37">+I100-I106</f>
        <v>3354.6980600000006</v>
      </c>
      <c r="J108" s="40">
        <f t="shared" si="37"/>
        <v>3563.3973535999994</v>
      </c>
      <c r="K108" s="40">
        <f t="shared" si="37"/>
        <v>3822.9933071040023</v>
      </c>
      <c r="L108" s="40">
        <f t="shared" si="37"/>
        <v>4009.7258640231998</v>
      </c>
    </row>
    <row r="109" spans="1:12" ht="15.75" x14ac:dyDescent="0.25">
      <c r="A109" s="4"/>
      <c r="B109" s="4"/>
      <c r="C109" s="34" t="s">
        <v>32</v>
      </c>
      <c r="D109" s="28" t="s">
        <v>63</v>
      </c>
      <c r="E109" s="106">
        <v>0.17785638486027591</v>
      </c>
      <c r="F109" s="106">
        <v>0.19939243302954984</v>
      </c>
      <c r="G109" s="106">
        <v>0.21387541961954495</v>
      </c>
      <c r="H109" s="70">
        <f>+H108/H96</f>
        <v>0.21914571677234862</v>
      </c>
      <c r="I109" s="70">
        <f t="shared" ref="I109:L109" si="38">+I108/I96</f>
        <v>0.2291732801576144</v>
      </c>
      <c r="J109" s="70">
        <f t="shared" si="38"/>
        <v>0.23406768353825994</v>
      </c>
      <c r="K109" s="70">
        <f t="shared" si="38"/>
        <v>0.24380551032019029</v>
      </c>
      <c r="L109" s="70">
        <f t="shared" si="38"/>
        <v>0.24826610829955176</v>
      </c>
    </row>
    <row r="110" spans="1:12" ht="15.75" x14ac:dyDescent="0.25">
      <c r="A110" s="4"/>
      <c r="B110" s="4"/>
      <c r="C110" s="4"/>
      <c r="D110" s="4"/>
      <c r="E110" s="29"/>
      <c r="F110" s="29"/>
      <c r="G110" s="29"/>
      <c r="H110" s="29"/>
      <c r="I110" s="29"/>
      <c r="J110" s="29"/>
      <c r="K110" s="29"/>
      <c r="L110" s="29"/>
    </row>
    <row r="111" spans="1:12" ht="15.75" x14ac:dyDescent="0.25">
      <c r="A111" s="4"/>
      <c r="B111" s="4"/>
      <c r="C111" s="5" t="s">
        <v>33</v>
      </c>
      <c r="D111" s="4"/>
      <c r="E111" s="29"/>
      <c r="F111" s="29"/>
      <c r="G111" s="29"/>
      <c r="H111" s="29"/>
      <c r="I111" s="29"/>
      <c r="J111" s="29"/>
      <c r="K111" s="29"/>
      <c r="L111" s="29"/>
    </row>
    <row r="112" spans="1:12" ht="15.75" x14ac:dyDescent="0.25">
      <c r="A112" s="4"/>
      <c r="B112" s="4"/>
      <c r="C112" s="49" t="s">
        <v>64</v>
      </c>
      <c r="D112" s="28" t="s">
        <v>81</v>
      </c>
      <c r="E112" s="35">
        <v>-239</v>
      </c>
      <c r="F112" s="35">
        <v>-250</v>
      </c>
      <c r="G112" s="35">
        <v>-226</v>
      </c>
      <c r="H112" s="38">
        <f>-H59</f>
        <v>-296.88</v>
      </c>
      <c r="I112" s="38">
        <f t="shared" ref="I112:L112" si="39">-I59</f>
        <v>-267.19200000000001</v>
      </c>
      <c r="J112" s="38">
        <f t="shared" si="39"/>
        <v>-237.50400000000002</v>
      </c>
      <c r="K112" s="38">
        <f t="shared" si="39"/>
        <v>-207.81600000000003</v>
      </c>
      <c r="L112" s="38">
        <f t="shared" si="39"/>
        <v>-178.12800000000004</v>
      </c>
    </row>
    <row r="113" spans="1:12" ht="14.45" customHeight="1" x14ac:dyDescent="0.25">
      <c r="A113" s="4"/>
      <c r="B113" s="4"/>
      <c r="C113" s="43" t="s">
        <v>121</v>
      </c>
      <c r="D113" s="90" t="s">
        <v>81</v>
      </c>
      <c r="E113" s="44">
        <v>72</v>
      </c>
      <c r="F113" s="44">
        <v>61</v>
      </c>
      <c r="G113" s="44">
        <v>78</v>
      </c>
      <c r="H113" s="45">
        <f>+H60</f>
        <v>15.450000000000001</v>
      </c>
      <c r="I113" s="45">
        <f t="shared" ref="I113:L113" si="40">+I60</f>
        <v>11.866994031081765</v>
      </c>
      <c r="J113" s="45">
        <f t="shared" si="40"/>
        <v>8.8898595411791295</v>
      </c>
      <c r="K113" s="45">
        <f t="shared" si="40"/>
        <v>6.5886504578026077</v>
      </c>
      <c r="L113" s="45">
        <f t="shared" si="40"/>
        <v>4.3576150170608026</v>
      </c>
    </row>
    <row r="114" spans="1:12" ht="15.75" x14ac:dyDescent="0.25">
      <c r="A114" s="4"/>
      <c r="B114" s="4"/>
      <c r="C114" s="46" t="s">
        <v>34</v>
      </c>
      <c r="D114" s="28" t="s">
        <v>81</v>
      </c>
      <c r="E114" s="105">
        <v>-167</v>
      </c>
      <c r="F114" s="105">
        <v>-189</v>
      </c>
      <c r="G114" s="105">
        <v>-148</v>
      </c>
      <c r="H114" s="47">
        <f>SUM(H112:H113)</f>
        <v>-281.43</v>
      </c>
      <c r="I114" s="47">
        <f t="shared" ref="I114:L114" si="41">SUM(I112:I113)</f>
        <v>-255.32500596891825</v>
      </c>
      <c r="J114" s="47">
        <f t="shared" si="41"/>
        <v>-228.61414045882088</v>
      </c>
      <c r="K114" s="47">
        <f t="shared" si="41"/>
        <v>-201.22734954219743</v>
      </c>
      <c r="L114" s="47">
        <f t="shared" si="41"/>
        <v>-173.77038498293925</v>
      </c>
    </row>
    <row r="115" spans="1:12" ht="15.75" x14ac:dyDescent="0.25">
      <c r="A115" s="4"/>
      <c r="B115" s="4"/>
      <c r="C115" s="48"/>
      <c r="D115" s="36"/>
      <c r="E115" s="37"/>
      <c r="F115" s="37"/>
      <c r="G115" s="37"/>
      <c r="H115" s="38"/>
      <c r="I115" s="38"/>
      <c r="J115" s="38"/>
      <c r="K115" s="38"/>
      <c r="L115" s="38"/>
    </row>
    <row r="116" spans="1:12" ht="15.75" x14ac:dyDescent="0.25">
      <c r="A116" s="4"/>
      <c r="B116" s="4"/>
      <c r="C116" s="39" t="s">
        <v>35</v>
      </c>
      <c r="D116" s="28" t="s">
        <v>81</v>
      </c>
      <c r="E116" s="104">
        <v>2347</v>
      </c>
      <c r="F116" s="104">
        <v>2699</v>
      </c>
      <c r="G116" s="104">
        <v>2719</v>
      </c>
      <c r="H116" s="40">
        <f>+H108+H114</f>
        <v>2803.1007500000001</v>
      </c>
      <c r="I116" s="40">
        <f t="shared" ref="I116:L116" si="42">+I108+I114</f>
        <v>3099.3730540310826</v>
      </c>
      <c r="J116" s="40">
        <f t="shared" si="42"/>
        <v>3334.7832131411787</v>
      </c>
      <c r="K116" s="40">
        <f t="shared" si="42"/>
        <v>3621.765957561805</v>
      </c>
      <c r="L116" s="40">
        <f t="shared" si="42"/>
        <v>3835.9554790402608</v>
      </c>
    </row>
    <row r="117" spans="1:12" ht="15.75" x14ac:dyDescent="0.25">
      <c r="A117" s="4"/>
      <c r="B117" s="4"/>
      <c r="C117" s="24" t="s">
        <v>76</v>
      </c>
      <c r="D117" s="90" t="s">
        <v>81</v>
      </c>
      <c r="E117" s="37">
        <v>-717</v>
      </c>
      <c r="F117" s="37">
        <v>-809</v>
      </c>
      <c r="G117" s="37">
        <v>-820</v>
      </c>
      <c r="H117" s="38">
        <f>-H116*Tax_Rate</f>
        <v>-840.93022499999995</v>
      </c>
      <c r="I117" s="38">
        <f>-I116*Tax_Rate</f>
        <v>-929.81191620932475</v>
      </c>
      <c r="J117" s="38">
        <f>-J116*Tax_Rate</f>
        <v>-1000.4349639423535</v>
      </c>
      <c r="K117" s="38">
        <f>-K116*Tax_Rate</f>
        <v>-1086.5297872685414</v>
      </c>
      <c r="L117" s="38">
        <f>-L116*Tax_Rate</f>
        <v>-1150.7866437120781</v>
      </c>
    </row>
    <row r="118" spans="1:12" ht="15.75" x14ac:dyDescent="0.25">
      <c r="A118" s="4"/>
      <c r="B118" s="4"/>
      <c r="C118" s="78" t="s">
        <v>24</v>
      </c>
      <c r="D118" s="28" t="s">
        <v>81</v>
      </c>
      <c r="E118" s="107">
        <v>1630</v>
      </c>
      <c r="F118" s="107">
        <v>1890</v>
      </c>
      <c r="G118" s="107">
        <v>1899</v>
      </c>
      <c r="H118" s="73">
        <f>SUM(H116:H117)</f>
        <v>1962.170525</v>
      </c>
      <c r="I118" s="73">
        <f t="shared" ref="I118:L118" si="43">SUM(I116:I117)</f>
        <v>2169.5611378217577</v>
      </c>
      <c r="J118" s="73">
        <f t="shared" si="43"/>
        <v>2334.3482491988252</v>
      </c>
      <c r="K118" s="73">
        <f t="shared" si="43"/>
        <v>2535.2361702932635</v>
      </c>
      <c r="L118" s="73">
        <f t="shared" si="43"/>
        <v>2685.1688353281825</v>
      </c>
    </row>
    <row r="119" spans="1:12" ht="15.75" x14ac:dyDescent="0.25">
      <c r="A119" s="4"/>
      <c r="B119" s="4"/>
      <c r="C119" s="51"/>
      <c r="D119" s="4"/>
      <c r="E119" s="29"/>
      <c r="F119" s="29"/>
      <c r="G119" s="29"/>
      <c r="H119" s="29"/>
      <c r="I119" s="29"/>
      <c r="J119" s="29"/>
      <c r="K119" s="29"/>
      <c r="L119" s="29"/>
    </row>
    <row r="120" spans="1:12" ht="15.75" x14ac:dyDescent="0.25">
      <c r="A120" s="4"/>
      <c r="B120" s="4"/>
      <c r="C120" s="52" t="s">
        <v>101</v>
      </c>
      <c r="D120" s="28" t="s">
        <v>81</v>
      </c>
      <c r="E120" s="37">
        <v>49</v>
      </c>
      <c r="F120" s="37">
        <v>1056</v>
      </c>
      <c r="G120" s="37">
        <v>0</v>
      </c>
      <c r="H120" s="91">
        <f>+H62</f>
        <v>0</v>
      </c>
      <c r="I120" s="91">
        <f t="shared" ref="I120:L120" si="44">+I62</f>
        <v>0</v>
      </c>
      <c r="J120" s="91">
        <f t="shared" si="44"/>
        <v>0</v>
      </c>
      <c r="K120" s="91">
        <f t="shared" si="44"/>
        <v>0</v>
      </c>
      <c r="L120" s="91">
        <f t="shared" si="44"/>
        <v>0</v>
      </c>
    </row>
    <row r="121" spans="1:12" ht="15.75" x14ac:dyDescent="0.25">
      <c r="A121" s="4"/>
      <c r="B121" s="4"/>
      <c r="C121" s="52"/>
      <c r="D121" s="36"/>
      <c r="E121" s="37"/>
      <c r="F121" s="37"/>
      <c r="G121" s="37"/>
      <c r="H121" s="38"/>
      <c r="I121" s="38"/>
      <c r="J121" s="38"/>
      <c r="K121" s="38"/>
      <c r="L121" s="38"/>
    </row>
    <row r="122" spans="1:12" ht="15.75" x14ac:dyDescent="0.25">
      <c r="A122" s="4"/>
      <c r="B122" s="4"/>
      <c r="C122" s="39" t="s">
        <v>9</v>
      </c>
      <c r="D122" s="28" t="s">
        <v>81</v>
      </c>
      <c r="E122" s="100">
        <v>1679</v>
      </c>
      <c r="F122" s="100">
        <v>2946</v>
      </c>
      <c r="G122" s="100">
        <v>1899</v>
      </c>
      <c r="H122" s="53">
        <f>+H118+H120</f>
        <v>1962.170525</v>
      </c>
      <c r="I122" s="53">
        <f t="shared" ref="I122:L122" si="45">+I118+I120</f>
        <v>2169.5611378217577</v>
      </c>
      <c r="J122" s="53">
        <f t="shared" si="45"/>
        <v>2334.3482491988252</v>
      </c>
      <c r="K122" s="53">
        <f t="shared" si="45"/>
        <v>2535.2361702932635</v>
      </c>
      <c r="L122" s="53">
        <f t="shared" si="45"/>
        <v>2685.1688353281825</v>
      </c>
    </row>
    <row r="123" spans="1:12" ht="15.75" x14ac:dyDescent="0.25">
      <c r="A123" s="4"/>
      <c r="B123" s="4"/>
      <c r="C123" s="31"/>
      <c r="D123" s="4"/>
      <c r="E123" s="27"/>
      <c r="F123" s="27"/>
      <c r="G123" s="27"/>
      <c r="H123" s="27"/>
      <c r="I123" s="27"/>
      <c r="J123" s="27"/>
      <c r="K123" s="27"/>
      <c r="L123" s="27"/>
    </row>
    <row r="124" spans="1:12" ht="15.75" x14ac:dyDescent="0.25">
      <c r="A124" s="4"/>
      <c r="B124" s="17"/>
      <c r="C124" s="17"/>
      <c r="D124" s="17"/>
      <c r="E124" s="18" t="str">
        <f>$E$43</f>
        <v>Historical</v>
      </c>
      <c r="F124" s="18"/>
      <c r="G124" s="18"/>
      <c r="H124" s="19" t="str">
        <f>$H$43</f>
        <v>Projected</v>
      </c>
      <c r="I124" s="18"/>
      <c r="J124" s="18"/>
      <c r="K124" s="18"/>
      <c r="L124" s="18"/>
    </row>
    <row r="125" spans="1:12" ht="15.75" x14ac:dyDescent="0.25">
      <c r="A125" s="4"/>
      <c r="B125" s="81" t="s">
        <v>10</v>
      </c>
      <c r="C125" s="81"/>
      <c r="D125" s="82" t="str">
        <f>$D$44</f>
        <v>Units:</v>
      </c>
      <c r="E125" s="83">
        <f>$E$44</f>
        <v>41639</v>
      </c>
      <c r="F125" s="83">
        <f>$F$44</f>
        <v>42004</v>
      </c>
      <c r="G125" s="83">
        <f>$G$44</f>
        <v>42369</v>
      </c>
      <c r="H125" s="84">
        <f>$H$44</f>
        <v>42735</v>
      </c>
      <c r="I125" s="83">
        <f>$I$44</f>
        <v>43100</v>
      </c>
      <c r="J125" s="83">
        <f>$J$44</f>
        <v>43465</v>
      </c>
      <c r="K125" s="83">
        <f>$K$44</f>
        <v>43830</v>
      </c>
      <c r="L125" s="83">
        <f>$L$44</f>
        <v>44196</v>
      </c>
    </row>
    <row r="126" spans="1:12" ht="15.75" x14ac:dyDescent="0.25">
      <c r="A126" s="4"/>
      <c r="B126" s="54" t="s">
        <v>36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ht="15.75" x14ac:dyDescent="0.25">
      <c r="A127" s="4"/>
      <c r="B127" s="4"/>
      <c r="C127" s="5" t="s">
        <v>37</v>
      </c>
      <c r="D127" s="4"/>
      <c r="E127" s="4"/>
      <c r="F127" s="4"/>
      <c r="G127" s="4"/>
      <c r="H127" s="4"/>
      <c r="I127" s="4"/>
      <c r="J127" s="4"/>
      <c r="K127" s="4"/>
      <c r="L127" s="4"/>
    </row>
    <row r="128" spans="1:12" ht="15.75" x14ac:dyDescent="0.25">
      <c r="A128" s="4"/>
      <c r="B128" s="4"/>
      <c r="C128" s="55" t="s">
        <v>11</v>
      </c>
      <c r="D128" s="28" t="s">
        <v>81</v>
      </c>
      <c r="E128" s="33">
        <v>3618</v>
      </c>
      <c r="F128" s="33">
        <v>3990</v>
      </c>
      <c r="G128" s="33">
        <v>3090</v>
      </c>
      <c r="H128" s="27">
        <f>+H201</f>
        <v>2373.398806216353</v>
      </c>
      <c r="I128" s="27">
        <f t="shared" ref="I128:L128" si="46">+I201</f>
        <v>1777.9719082358258</v>
      </c>
      <c r="J128" s="27">
        <f t="shared" si="46"/>
        <v>1317.7300915605215</v>
      </c>
      <c r="K128" s="27">
        <f t="shared" si="46"/>
        <v>871.52300341216051</v>
      </c>
      <c r="L128" s="27">
        <f t="shared" si="46"/>
        <v>562.3485069764107</v>
      </c>
    </row>
    <row r="129" spans="1:12" ht="15.75" x14ac:dyDescent="0.25">
      <c r="A129" s="4"/>
      <c r="B129" s="4"/>
      <c r="C129" s="55" t="s">
        <v>74</v>
      </c>
      <c r="D129" s="28" t="s">
        <v>81</v>
      </c>
      <c r="E129" s="35">
        <v>2365</v>
      </c>
      <c r="F129" s="35">
        <v>2293</v>
      </c>
      <c r="G129" s="35">
        <v>2203</v>
      </c>
      <c r="H129" s="29">
        <f>+H65/365*H96</f>
        <v>2298.8142115088485</v>
      </c>
      <c r="I129" s="29">
        <f t="shared" ref="I129:L129" si="47">+I65/365*I96</f>
        <v>2390.7667799692026</v>
      </c>
      <c r="J129" s="29">
        <f t="shared" si="47"/>
        <v>2486.3974511679703</v>
      </c>
      <c r="K129" s="29">
        <f t="shared" si="47"/>
        <v>2560.9893747030096</v>
      </c>
      <c r="L129" s="29">
        <f t="shared" si="47"/>
        <v>2637.8190559441</v>
      </c>
    </row>
    <row r="130" spans="1:12" ht="15.75" x14ac:dyDescent="0.25">
      <c r="A130" s="4"/>
      <c r="B130" s="4"/>
      <c r="C130" s="55" t="s">
        <v>12</v>
      </c>
      <c r="D130" s="28" t="s">
        <v>81</v>
      </c>
      <c r="E130" s="35">
        <v>1247</v>
      </c>
      <c r="F130" s="35">
        <v>1180</v>
      </c>
      <c r="G130" s="35">
        <v>1086</v>
      </c>
      <c r="H130" s="29">
        <f>+H66/365*H98</f>
        <v>1128.7909931506849</v>
      </c>
      <c r="I130" s="29">
        <f t="shared" ref="I130:L130" si="48">+I66/365*I98</f>
        <v>1144.5683713972603</v>
      </c>
      <c r="J130" s="29">
        <f t="shared" si="48"/>
        <v>1184.2198810783564</v>
      </c>
      <c r="K130" s="29">
        <f t="shared" si="48"/>
        <v>1188.6674111810626</v>
      </c>
      <c r="L130" s="29">
        <f t="shared" si="48"/>
        <v>1217.955564009942</v>
      </c>
    </row>
    <row r="131" spans="1:12" ht="15.75" x14ac:dyDescent="0.25">
      <c r="A131" s="4"/>
      <c r="B131" s="4"/>
      <c r="C131" s="56" t="s">
        <v>99</v>
      </c>
      <c r="D131" s="90" t="s">
        <v>81</v>
      </c>
      <c r="E131" s="44">
        <v>2586</v>
      </c>
      <c r="F131" s="44">
        <v>401</v>
      </c>
      <c r="G131" s="44">
        <v>341</v>
      </c>
      <c r="H131" s="45">
        <f>+H69*H103</f>
        <v>329.36085000000003</v>
      </c>
      <c r="I131" s="45">
        <f t="shared" ref="I131:L131" si="49">+I69*I103</f>
        <v>333.02041500000001</v>
      </c>
      <c r="J131" s="45">
        <f t="shared" si="49"/>
        <v>319.69959839999996</v>
      </c>
      <c r="K131" s="45">
        <f t="shared" si="49"/>
        <v>319.88228388480002</v>
      </c>
      <c r="L131" s="45">
        <f t="shared" si="49"/>
        <v>302.02218970123204</v>
      </c>
    </row>
    <row r="132" spans="1:12" ht="15.75" x14ac:dyDescent="0.25">
      <c r="A132" s="4"/>
      <c r="B132" s="4"/>
      <c r="C132" s="39" t="s">
        <v>13</v>
      </c>
      <c r="D132" s="28" t="s">
        <v>81</v>
      </c>
      <c r="E132" s="104">
        <v>9816</v>
      </c>
      <c r="F132" s="104">
        <v>7864</v>
      </c>
      <c r="G132" s="104">
        <v>6720</v>
      </c>
      <c r="H132" s="40">
        <f>SUM(H128:H131)</f>
        <v>6130.3648608758867</v>
      </c>
      <c r="I132" s="40">
        <f t="shared" ref="I132:L132" si="50">SUM(I128:I131)</f>
        <v>5646.3274746022889</v>
      </c>
      <c r="J132" s="40">
        <f t="shared" si="50"/>
        <v>5308.0470222068479</v>
      </c>
      <c r="K132" s="40">
        <f t="shared" si="50"/>
        <v>4941.0620731810332</v>
      </c>
      <c r="L132" s="40">
        <f t="shared" si="50"/>
        <v>4720.1453166316842</v>
      </c>
    </row>
    <row r="133" spans="1:12" ht="15.75" x14ac:dyDescent="0.25">
      <c r="A133" s="4"/>
      <c r="B133" s="4"/>
      <c r="C133" s="4"/>
      <c r="D133" s="4"/>
      <c r="E133" s="29"/>
      <c r="F133" s="29"/>
      <c r="G133" s="29"/>
      <c r="H133" s="29"/>
      <c r="I133" s="29"/>
      <c r="J133" s="29"/>
      <c r="K133" s="29"/>
      <c r="L133" s="29"/>
    </row>
    <row r="134" spans="1:12" ht="15.75" x14ac:dyDescent="0.25">
      <c r="A134" s="4"/>
      <c r="B134" s="4"/>
      <c r="C134" s="57" t="s">
        <v>38</v>
      </c>
      <c r="D134" s="4"/>
      <c r="E134" s="29"/>
      <c r="F134" s="29"/>
      <c r="G134" s="29"/>
      <c r="H134" s="29"/>
      <c r="I134" s="29"/>
      <c r="J134" s="29"/>
      <c r="K134" s="29"/>
      <c r="L134" s="29"/>
    </row>
    <row r="135" spans="1:12" ht="15.75" x14ac:dyDescent="0.25">
      <c r="A135" s="4"/>
      <c r="B135" s="4"/>
      <c r="C135" s="55" t="s">
        <v>88</v>
      </c>
      <c r="D135" s="28" t="s">
        <v>81</v>
      </c>
      <c r="E135" s="35">
        <v>1709</v>
      </c>
      <c r="F135" s="35">
        <v>1686</v>
      </c>
      <c r="G135" s="35">
        <v>1577</v>
      </c>
      <c r="H135" s="29">
        <f>+G135-H170-H186-H187</f>
        <v>1622.72075</v>
      </c>
      <c r="I135" s="29">
        <f t="shared" ref="I135:L135" si="51">+H135-I170-I186-I187</f>
        <v>1684.23207</v>
      </c>
      <c r="J135" s="29">
        <f t="shared" si="51"/>
        <v>1769.9800524</v>
      </c>
      <c r="K135" s="29">
        <f t="shared" si="51"/>
        <v>1881.3699701599999</v>
      </c>
      <c r="L135" s="29">
        <f t="shared" si="51"/>
        <v>2017.2006662174399</v>
      </c>
    </row>
    <row r="136" spans="1:12" ht="15.75" x14ac:dyDescent="0.25">
      <c r="A136" s="4"/>
      <c r="B136" s="4"/>
      <c r="C136" s="55" t="s">
        <v>26</v>
      </c>
      <c r="D136" s="28" t="s">
        <v>81</v>
      </c>
      <c r="E136" s="35">
        <v>4886</v>
      </c>
      <c r="F136" s="35">
        <v>4667</v>
      </c>
      <c r="G136" s="35">
        <v>4439</v>
      </c>
      <c r="H136" s="29">
        <f>+G136-H171</f>
        <v>4439</v>
      </c>
      <c r="I136" s="29">
        <f t="shared" ref="I136:L136" si="52">+H136-I171</f>
        <v>4439</v>
      </c>
      <c r="J136" s="29">
        <f t="shared" si="52"/>
        <v>4439</v>
      </c>
      <c r="K136" s="29">
        <f t="shared" si="52"/>
        <v>4439</v>
      </c>
      <c r="L136" s="29">
        <f t="shared" si="52"/>
        <v>4439</v>
      </c>
    </row>
    <row r="137" spans="1:12" ht="15.75" x14ac:dyDescent="0.25">
      <c r="A137" s="4"/>
      <c r="B137" s="4"/>
      <c r="C137" s="55" t="s">
        <v>89</v>
      </c>
      <c r="D137" s="28" t="s">
        <v>81</v>
      </c>
      <c r="E137" s="35">
        <v>1999</v>
      </c>
      <c r="F137" s="35">
        <v>1799</v>
      </c>
      <c r="G137" s="35">
        <v>1560</v>
      </c>
      <c r="H137" s="29">
        <f>+G137-H172</f>
        <v>1343</v>
      </c>
      <c r="I137" s="29">
        <f t="shared" ref="I137:L137" si="53">+H137-I172</f>
        <v>1147</v>
      </c>
      <c r="J137" s="29">
        <f t="shared" si="53"/>
        <v>972</v>
      </c>
      <c r="K137" s="29">
        <f t="shared" si="53"/>
        <v>819</v>
      </c>
      <c r="L137" s="29">
        <f t="shared" si="53"/>
        <v>685</v>
      </c>
    </row>
    <row r="138" spans="1:12" ht="15.75" x14ac:dyDescent="0.25">
      <c r="A138" s="4"/>
      <c r="B138" s="4"/>
      <c r="C138" s="56" t="s">
        <v>14</v>
      </c>
      <c r="D138" s="90" t="s">
        <v>81</v>
      </c>
      <c r="E138" s="44">
        <v>1556</v>
      </c>
      <c r="F138" s="44">
        <v>1449</v>
      </c>
      <c r="G138" s="44">
        <v>1433</v>
      </c>
      <c r="H138" s="45">
        <f>+H70*H96</f>
        <v>1487.3935687875144</v>
      </c>
      <c r="I138" s="45">
        <f t="shared" ref="I138:L138" si="54">+I70*I96</f>
        <v>1546.8893115390149</v>
      </c>
      <c r="J138" s="45">
        <f t="shared" si="54"/>
        <v>1608.7648840005756</v>
      </c>
      <c r="K138" s="45">
        <f t="shared" si="54"/>
        <v>1657.0278305205929</v>
      </c>
      <c r="L138" s="45">
        <f t="shared" si="54"/>
        <v>1706.7386654362108</v>
      </c>
    </row>
    <row r="139" spans="1:12" ht="15.75" x14ac:dyDescent="0.25">
      <c r="A139" s="4"/>
      <c r="B139" s="4"/>
      <c r="C139" s="39" t="s">
        <v>39</v>
      </c>
      <c r="D139" s="28" t="s">
        <v>81</v>
      </c>
      <c r="E139" s="104">
        <v>10150</v>
      </c>
      <c r="F139" s="104">
        <v>9601</v>
      </c>
      <c r="G139" s="104">
        <v>9009</v>
      </c>
      <c r="H139" s="40">
        <f>SUM(H135:H138)</f>
        <v>8892.114318787515</v>
      </c>
      <c r="I139" s="40">
        <f t="shared" ref="I139:L139" si="55">SUM(I135:I138)</f>
        <v>8817.1213815390147</v>
      </c>
      <c r="J139" s="40">
        <f t="shared" si="55"/>
        <v>8789.7449364005752</v>
      </c>
      <c r="K139" s="40">
        <f t="shared" si="55"/>
        <v>8796.3978006805919</v>
      </c>
      <c r="L139" s="40">
        <f t="shared" si="55"/>
        <v>8847.9393316536516</v>
      </c>
    </row>
    <row r="140" spans="1:12" ht="15.75" x14ac:dyDescent="0.25">
      <c r="A140" s="4"/>
      <c r="B140" s="4"/>
      <c r="C140" s="39"/>
      <c r="D140" s="4"/>
      <c r="E140" s="29"/>
      <c r="F140" s="40"/>
      <c r="G140" s="40"/>
      <c r="H140" s="29"/>
      <c r="I140" s="29"/>
      <c r="J140" s="29"/>
      <c r="K140" s="29"/>
      <c r="L140" s="29"/>
    </row>
    <row r="141" spans="1:12" ht="15.75" x14ac:dyDescent="0.25">
      <c r="A141" s="4"/>
      <c r="B141" s="4"/>
      <c r="C141" s="39" t="s">
        <v>15</v>
      </c>
      <c r="D141" s="28" t="s">
        <v>81</v>
      </c>
      <c r="E141" s="100">
        <v>19966</v>
      </c>
      <c r="F141" s="100">
        <v>17465</v>
      </c>
      <c r="G141" s="100">
        <v>15729</v>
      </c>
      <c r="H141" s="53">
        <f>+H132+H139</f>
        <v>15022.479179663402</v>
      </c>
      <c r="I141" s="53">
        <f t="shared" ref="I141:L141" si="56">+I132+I139</f>
        <v>14463.448856141304</v>
      </c>
      <c r="J141" s="53">
        <f t="shared" si="56"/>
        <v>14097.791958607424</v>
      </c>
      <c r="K141" s="53">
        <f t="shared" si="56"/>
        <v>13737.459873861626</v>
      </c>
      <c r="L141" s="53">
        <f t="shared" si="56"/>
        <v>13568.084648285336</v>
      </c>
    </row>
    <row r="142" spans="1:12" ht="15.75" x14ac:dyDescent="0.25">
      <c r="A142" s="4"/>
      <c r="B142" s="4"/>
      <c r="C142" s="39"/>
      <c r="D142" s="4"/>
      <c r="E142" s="29"/>
      <c r="F142" s="40"/>
      <c r="G142" s="40"/>
      <c r="H142" s="29"/>
      <c r="I142" s="29"/>
      <c r="J142" s="29"/>
      <c r="K142" s="29"/>
      <c r="L142" s="29"/>
    </row>
    <row r="143" spans="1:12" ht="15.75" x14ac:dyDescent="0.25">
      <c r="A143" s="4"/>
      <c r="B143" s="23" t="s">
        <v>40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s="2" customFormat="1" ht="15.75" x14ac:dyDescent="0.25">
      <c r="A144" s="6"/>
      <c r="B144" s="6"/>
      <c r="C144" s="58" t="s">
        <v>41</v>
      </c>
      <c r="D144" s="58"/>
      <c r="E144" s="58"/>
      <c r="F144" s="59"/>
      <c r="G144" s="59"/>
      <c r="H144" s="59"/>
      <c r="I144" s="59"/>
      <c r="J144" s="59"/>
      <c r="K144" s="59"/>
      <c r="L144" s="59"/>
    </row>
    <row r="145" spans="1:13" ht="15.75" x14ac:dyDescent="0.25">
      <c r="A145" s="4"/>
      <c r="B145" s="4"/>
      <c r="C145" s="55" t="s">
        <v>16</v>
      </c>
      <c r="D145" s="28" t="s">
        <v>81</v>
      </c>
      <c r="E145" s="33">
        <v>634</v>
      </c>
      <c r="F145" s="33">
        <v>512</v>
      </c>
      <c r="G145" s="33">
        <v>449</v>
      </c>
      <c r="H145" s="27">
        <f>+H67/365*H98</f>
        <v>451.51639726027395</v>
      </c>
      <c r="I145" s="27">
        <f t="shared" ref="I145:L145" si="57">+I67/365*I98</f>
        <v>443.81222564383563</v>
      </c>
      <c r="J145" s="27">
        <f t="shared" si="57"/>
        <v>459.1873008263014</v>
      </c>
      <c r="K145" s="27">
        <f t="shared" si="57"/>
        <v>445.75027919289852</v>
      </c>
      <c r="L145" s="27">
        <f t="shared" si="57"/>
        <v>456.73333650372825</v>
      </c>
    </row>
    <row r="146" spans="1:13" ht="15.75" x14ac:dyDescent="0.25">
      <c r="A146" s="4"/>
      <c r="B146" s="4"/>
      <c r="C146" s="55" t="s">
        <v>27</v>
      </c>
      <c r="D146" s="28" t="s">
        <v>81</v>
      </c>
      <c r="E146" s="35">
        <v>1272</v>
      </c>
      <c r="F146" s="35">
        <v>1287</v>
      </c>
      <c r="G146" s="35">
        <v>1136</v>
      </c>
      <c r="H146" s="29">
        <f>+H71*H103</f>
        <v>1184.3914725234579</v>
      </c>
      <c r="I146" s="29">
        <f t="shared" ref="I146:L146" si="58">+I71*I103</f>
        <v>1197.5513777737185</v>
      </c>
      <c r="J146" s="29">
        <f t="shared" si="58"/>
        <v>1245.4534328846671</v>
      </c>
      <c r="K146" s="29">
        <f t="shared" si="58"/>
        <v>1246.1651205606015</v>
      </c>
      <c r="L146" s="29">
        <f t="shared" si="58"/>
        <v>1283.5500741774197</v>
      </c>
      <c r="M146" s="1"/>
    </row>
    <row r="147" spans="1:13" ht="15.75" x14ac:dyDescent="0.25">
      <c r="A147" s="4"/>
      <c r="B147" s="4"/>
      <c r="C147" s="55" t="s">
        <v>109</v>
      </c>
      <c r="D147" s="90" t="s">
        <v>81</v>
      </c>
      <c r="E147" s="35">
        <v>577</v>
      </c>
      <c r="F147" s="35">
        <v>250</v>
      </c>
      <c r="G147" s="35">
        <v>257</v>
      </c>
      <c r="H147" s="29">
        <f>+H73*H103</f>
        <v>253.35450000000003</v>
      </c>
      <c r="I147" s="29">
        <f t="shared" ref="I147:L147" si="59">+I73*I103</f>
        <v>256.16955000000002</v>
      </c>
      <c r="J147" s="29">
        <f t="shared" si="59"/>
        <v>266.41633199999995</v>
      </c>
      <c r="K147" s="29">
        <f t="shared" si="59"/>
        <v>266.56856990400001</v>
      </c>
      <c r="L147" s="29">
        <f t="shared" si="59"/>
        <v>274.56562700112005</v>
      </c>
      <c r="M147" s="1"/>
    </row>
    <row r="148" spans="1:13" ht="15.75" x14ac:dyDescent="0.25">
      <c r="A148" s="4"/>
      <c r="B148" s="4"/>
      <c r="C148" s="71" t="s">
        <v>17</v>
      </c>
      <c r="D148" s="28" t="s">
        <v>81</v>
      </c>
      <c r="E148" s="107">
        <v>2483</v>
      </c>
      <c r="F148" s="107">
        <v>2049</v>
      </c>
      <c r="G148" s="107">
        <v>1842</v>
      </c>
      <c r="H148" s="73">
        <f>SUM(H145:H147)</f>
        <v>1889.2623697837316</v>
      </c>
      <c r="I148" s="73">
        <f t="shared" ref="I148:L148" si="60">SUM(I145:I147)</f>
        <v>1897.5331534175543</v>
      </c>
      <c r="J148" s="73">
        <f t="shared" si="60"/>
        <v>1971.0570657109686</v>
      </c>
      <c r="K148" s="73">
        <f t="shared" si="60"/>
        <v>1958.4839696575</v>
      </c>
      <c r="L148" s="73">
        <f t="shared" si="60"/>
        <v>2014.8490376822679</v>
      </c>
      <c r="M148" s="1"/>
    </row>
    <row r="149" spans="1:13" ht="15.75" x14ac:dyDescent="0.25">
      <c r="A149" s="4"/>
      <c r="B149" s="4"/>
      <c r="C149" s="6"/>
      <c r="D149" s="4"/>
      <c r="E149" s="29"/>
      <c r="F149" s="29"/>
      <c r="G149" s="29"/>
      <c r="H149" s="29"/>
      <c r="I149" s="29"/>
      <c r="J149" s="29"/>
      <c r="K149" s="29"/>
      <c r="L149" s="29"/>
      <c r="M149" s="1"/>
    </row>
    <row r="150" spans="1:13" ht="15.75" x14ac:dyDescent="0.25">
      <c r="A150" s="4"/>
      <c r="B150" s="4"/>
      <c r="C150" s="57" t="s">
        <v>42</v>
      </c>
      <c r="D150" s="4"/>
      <c r="E150" s="29"/>
      <c r="F150" s="29"/>
      <c r="G150" s="29"/>
      <c r="H150" s="29"/>
      <c r="I150" s="29"/>
      <c r="J150" s="29"/>
      <c r="K150" s="29"/>
      <c r="L150" s="29"/>
      <c r="M150" s="1"/>
    </row>
    <row r="151" spans="1:13" ht="15.75" x14ac:dyDescent="0.25">
      <c r="A151" s="4"/>
      <c r="B151" s="4"/>
      <c r="C151" s="55" t="s">
        <v>69</v>
      </c>
      <c r="D151" s="28" t="s">
        <v>81</v>
      </c>
      <c r="E151" s="35">
        <v>6344</v>
      </c>
      <c r="F151" s="35">
        <v>7419</v>
      </c>
      <c r="G151" s="35">
        <v>7422</v>
      </c>
      <c r="H151" s="38">
        <f>+G151+H193</f>
        <v>6679.8</v>
      </c>
      <c r="I151" s="38">
        <f t="shared" ref="I151:L151" si="61">+H151+I193</f>
        <v>5937.6</v>
      </c>
      <c r="J151" s="38">
        <f t="shared" si="61"/>
        <v>5195.4000000000005</v>
      </c>
      <c r="K151" s="38">
        <f t="shared" si="61"/>
        <v>4453.2000000000007</v>
      </c>
      <c r="L151" s="38">
        <f t="shared" si="61"/>
        <v>3711.0000000000009</v>
      </c>
      <c r="M151" s="1"/>
    </row>
    <row r="152" spans="1:13" ht="15.75" x14ac:dyDescent="0.25">
      <c r="A152" s="4"/>
      <c r="B152" s="4"/>
      <c r="C152" s="55" t="s">
        <v>75</v>
      </c>
      <c r="D152" s="28" t="s">
        <v>81</v>
      </c>
      <c r="E152" s="35">
        <v>507</v>
      </c>
      <c r="F152" s="35">
        <v>171</v>
      </c>
      <c r="G152" s="35">
        <v>256</v>
      </c>
      <c r="H152" s="29">
        <f>+G152+H173</f>
        <v>273.64236112549463</v>
      </c>
      <c r="I152" s="29">
        <f t="shared" ref="I152:L152" si="62">+H152+I173</f>
        <v>293.14942261154488</v>
      </c>
      <c r="J152" s="29">
        <f t="shared" si="62"/>
        <v>314.13812582582432</v>
      </c>
      <c r="K152" s="29">
        <f t="shared" si="62"/>
        <v>336.93306208893523</v>
      </c>
      <c r="L152" s="29">
        <f t="shared" si="62"/>
        <v>361.07608007448147</v>
      </c>
      <c r="M152" s="1"/>
    </row>
    <row r="153" spans="1:13" ht="15.75" x14ac:dyDescent="0.25">
      <c r="A153" s="4"/>
      <c r="B153" s="4"/>
      <c r="C153" s="56" t="s">
        <v>18</v>
      </c>
      <c r="D153" s="90" t="s">
        <v>81</v>
      </c>
      <c r="E153" s="44">
        <v>923</v>
      </c>
      <c r="F153" s="44">
        <v>1002</v>
      </c>
      <c r="G153" s="44">
        <v>981</v>
      </c>
      <c r="H153" s="29">
        <f>+H74*H103</f>
        <v>935.65606862625486</v>
      </c>
      <c r="I153" s="29">
        <f t="shared" ref="I153:L153" si="63">+I74*I103</f>
        <v>946.05224716654652</v>
      </c>
      <c r="J153" s="29">
        <f t="shared" si="63"/>
        <v>983.89433705320835</v>
      </c>
      <c r="K153" s="29">
        <f t="shared" si="63"/>
        <v>984.45656238866752</v>
      </c>
      <c r="L153" s="29">
        <f t="shared" si="63"/>
        <v>1013.9902592603275</v>
      </c>
      <c r="M153" s="1"/>
    </row>
    <row r="154" spans="1:13" ht="15.75" x14ac:dyDescent="0.25">
      <c r="A154" s="4"/>
      <c r="B154" s="4"/>
      <c r="C154" s="57" t="s">
        <v>178</v>
      </c>
      <c r="D154" s="28" t="s">
        <v>81</v>
      </c>
      <c r="E154" s="104">
        <v>7774</v>
      </c>
      <c r="F154" s="104">
        <v>8592</v>
      </c>
      <c r="G154" s="104">
        <v>8659</v>
      </c>
      <c r="H154" s="73">
        <f>SUM(H151:H153)</f>
        <v>7889.0984297517498</v>
      </c>
      <c r="I154" s="73">
        <f t="shared" ref="I154:L154" si="64">SUM(I151:I153)</f>
        <v>7176.8016697780913</v>
      </c>
      <c r="J154" s="73">
        <f t="shared" si="64"/>
        <v>6493.4324628790328</v>
      </c>
      <c r="K154" s="73">
        <f t="shared" si="64"/>
        <v>5774.5896244776031</v>
      </c>
      <c r="L154" s="73">
        <f t="shared" si="64"/>
        <v>5086.0663393348095</v>
      </c>
      <c r="M154" s="1"/>
    </row>
    <row r="155" spans="1:13" ht="15.75" x14ac:dyDescent="0.25">
      <c r="A155" s="4"/>
      <c r="B155" s="4"/>
      <c r="C155" s="57"/>
      <c r="D155" s="4"/>
      <c r="E155" s="29"/>
      <c r="F155" s="40"/>
      <c r="G155" s="40"/>
      <c r="H155" s="29"/>
      <c r="I155" s="29"/>
      <c r="J155" s="29"/>
      <c r="K155" s="29"/>
      <c r="L155" s="29"/>
      <c r="M155" s="1"/>
    </row>
    <row r="156" spans="1:13" ht="15.75" x14ac:dyDescent="0.25">
      <c r="A156" s="4"/>
      <c r="B156" s="4"/>
      <c r="C156" s="57" t="s">
        <v>19</v>
      </c>
      <c r="D156" s="28" t="s">
        <v>81</v>
      </c>
      <c r="E156" s="100">
        <v>10257</v>
      </c>
      <c r="F156" s="100">
        <v>10641</v>
      </c>
      <c r="G156" s="100">
        <v>10501</v>
      </c>
      <c r="H156" s="53">
        <f>+H148+H154</f>
        <v>9778.3607995354814</v>
      </c>
      <c r="I156" s="53">
        <f t="shared" ref="I156:L156" si="65">+I148+I154</f>
        <v>9074.3348231956461</v>
      </c>
      <c r="J156" s="53">
        <f t="shared" si="65"/>
        <v>8464.489528590002</v>
      </c>
      <c r="K156" s="53">
        <f t="shared" si="65"/>
        <v>7733.0735941351031</v>
      </c>
      <c r="L156" s="53">
        <f t="shared" si="65"/>
        <v>7100.9153770170778</v>
      </c>
      <c r="M156" s="1"/>
    </row>
    <row r="157" spans="1:13" ht="15.75" x14ac:dyDescent="0.25">
      <c r="A157" s="4"/>
      <c r="B157" s="4"/>
      <c r="C157" s="6"/>
      <c r="D157" s="4"/>
      <c r="E157" s="29"/>
      <c r="F157" s="29"/>
      <c r="G157" s="29"/>
      <c r="H157" s="29"/>
      <c r="I157" s="29"/>
      <c r="J157" s="29"/>
      <c r="K157" s="29"/>
      <c r="L157" s="29"/>
      <c r="M157" s="1"/>
    </row>
    <row r="158" spans="1:13" ht="15.75" x14ac:dyDescent="0.25">
      <c r="A158" s="4"/>
      <c r="B158" s="4"/>
      <c r="C158" s="57" t="s">
        <v>43</v>
      </c>
      <c r="D158" s="28" t="s">
        <v>81</v>
      </c>
      <c r="E158" s="108">
        <v>9709</v>
      </c>
      <c r="F158" s="108">
        <v>6824</v>
      </c>
      <c r="G158" s="108">
        <v>5228</v>
      </c>
      <c r="H158" s="69">
        <f>+G158+H168+H174+H175+H191+H192+H194+H197</f>
        <v>5244.1183801279194</v>
      </c>
      <c r="I158" s="69">
        <f t="shared" ref="I158:L158" si="66">+H158+I168+I174+I175+I191+I192+I194+I197</f>
        <v>5389.1140329456566</v>
      </c>
      <c r="J158" s="69">
        <f t="shared" si="66"/>
        <v>5633.3024300174211</v>
      </c>
      <c r="K158" s="69">
        <f t="shared" si="66"/>
        <v>6004.386279726521</v>
      </c>
      <c r="L158" s="69">
        <f t="shared" si="66"/>
        <v>6467.169271268257</v>
      </c>
      <c r="M158" s="1"/>
    </row>
    <row r="159" spans="1:13" ht="15.75" x14ac:dyDescent="0.25">
      <c r="A159" s="4"/>
      <c r="B159" s="4"/>
      <c r="C159" s="39"/>
      <c r="D159" s="4"/>
      <c r="E159" s="29"/>
      <c r="F159" s="40"/>
      <c r="G159" s="40"/>
      <c r="H159" s="29"/>
      <c r="I159" s="29"/>
      <c r="J159" s="29"/>
      <c r="K159" s="29"/>
      <c r="L159" s="29"/>
    </row>
    <row r="160" spans="1:13" ht="15.75" x14ac:dyDescent="0.25">
      <c r="A160" s="4"/>
      <c r="B160" s="4"/>
      <c r="C160" s="39" t="s">
        <v>70</v>
      </c>
      <c r="D160" s="28" t="s">
        <v>81</v>
      </c>
      <c r="E160" s="100">
        <v>19966</v>
      </c>
      <c r="F160" s="100">
        <v>17465</v>
      </c>
      <c r="G160" s="100">
        <v>15729</v>
      </c>
      <c r="H160" s="53">
        <f>+H156+H158</f>
        <v>15022.479179663402</v>
      </c>
      <c r="I160" s="53">
        <f t="shared" ref="I160:L160" si="67">+I156+I158</f>
        <v>14463.448856141302</v>
      </c>
      <c r="J160" s="53">
        <f t="shared" si="67"/>
        <v>14097.791958607424</v>
      </c>
      <c r="K160" s="53">
        <f t="shared" si="67"/>
        <v>13737.459873861624</v>
      </c>
      <c r="L160" s="53">
        <f t="shared" si="67"/>
        <v>13568.084648285334</v>
      </c>
    </row>
    <row r="161" spans="1:15" ht="15.75" x14ac:dyDescent="0.25">
      <c r="A161" s="4"/>
      <c r="B161" s="4"/>
      <c r="C161" s="31"/>
      <c r="D161" s="4"/>
      <c r="E161" s="29"/>
      <c r="F161" s="29"/>
      <c r="G161" s="40"/>
      <c r="H161" s="29"/>
      <c r="I161" s="29"/>
      <c r="J161" s="29"/>
      <c r="K161" s="29"/>
      <c r="L161" s="29"/>
    </row>
    <row r="162" spans="1:15" ht="15.75" x14ac:dyDescent="0.25">
      <c r="A162" s="4"/>
      <c r="B162" s="4"/>
      <c r="C162" s="60" t="s">
        <v>44</v>
      </c>
      <c r="D162" s="4"/>
      <c r="E162" s="61">
        <f>E141-E160</f>
        <v>0</v>
      </c>
      <c r="F162" s="61">
        <f>F141-F160</f>
        <v>0</v>
      </c>
      <c r="G162" s="61">
        <f>G141-G160</f>
        <v>0</v>
      </c>
      <c r="H162" s="61">
        <f>H141-H160</f>
        <v>0</v>
      </c>
      <c r="I162" s="61">
        <f t="shared" ref="I162:L162" si="68">I141-I160</f>
        <v>0</v>
      </c>
      <c r="J162" s="61">
        <f t="shared" si="68"/>
        <v>0</v>
      </c>
      <c r="K162" s="61">
        <f t="shared" si="68"/>
        <v>0</v>
      </c>
      <c r="L162" s="61">
        <f t="shared" si="68"/>
        <v>0</v>
      </c>
    </row>
    <row r="163" spans="1:15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5" ht="15.75" x14ac:dyDescent="0.25">
      <c r="A164" s="4"/>
      <c r="B164" s="17"/>
      <c r="C164" s="17"/>
      <c r="D164" s="17"/>
      <c r="E164" s="18" t="str">
        <f>$E$43</f>
        <v>Historical</v>
      </c>
      <c r="F164" s="18"/>
      <c r="G164" s="18"/>
      <c r="H164" s="19" t="str">
        <f>$H$43</f>
        <v>Projected</v>
      </c>
      <c r="I164" s="18"/>
      <c r="J164" s="18"/>
      <c r="K164" s="18"/>
      <c r="L164" s="18"/>
    </row>
    <row r="165" spans="1:15" ht="15.75" x14ac:dyDescent="0.25">
      <c r="A165" s="4"/>
      <c r="B165" s="81" t="s">
        <v>20</v>
      </c>
      <c r="C165" s="81"/>
      <c r="D165" s="82" t="str">
        <f>$D$44</f>
        <v>Units:</v>
      </c>
      <c r="E165" s="83">
        <f>$E$44</f>
        <v>41639</v>
      </c>
      <c r="F165" s="83">
        <f>$F$44</f>
        <v>42004</v>
      </c>
      <c r="G165" s="83">
        <f>$G$44</f>
        <v>42369</v>
      </c>
      <c r="H165" s="84">
        <f>$H$44</f>
        <v>42735</v>
      </c>
      <c r="I165" s="83">
        <f>$I$44</f>
        <v>43100</v>
      </c>
      <c r="J165" s="83">
        <f>$J$44</f>
        <v>43465</v>
      </c>
      <c r="K165" s="83">
        <f>$K$44</f>
        <v>43830</v>
      </c>
      <c r="L165" s="83">
        <f>$L$44</f>
        <v>44196</v>
      </c>
    </row>
    <row r="166" spans="1:15" ht="15.75" x14ac:dyDescent="0.25">
      <c r="A166" s="4"/>
      <c r="B166" s="23" t="s">
        <v>45</v>
      </c>
      <c r="C166" s="96"/>
      <c r="D166" s="23"/>
      <c r="E166" s="23" t="s">
        <v>46</v>
      </c>
      <c r="F166" s="23" t="s">
        <v>46</v>
      </c>
      <c r="G166" s="23" t="s">
        <v>46</v>
      </c>
      <c r="H166" s="23" t="s">
        <v>46</v>
      </c>
      <c r="I166" s="23" t="s">
        <v>46</v>
      </c>
      <c r="J166" s="23" t="s">
        <v>46</v>
      </c>
      <c r="K166" s="23" t="s">
        <v>46</v>
      </c>
      <c r="L166" s="23" t="s">
        <v>46</v>
      </c>
    </row>
    <row r="167" spans="1:15" ht="15.75" x14ac:dyDescent="0.25">
      <c r="A167" s="4"/>
      <c r="B167" s="58"/>
      <c r="C167" s="98"/>
      <c r="D167" s="58"/>
      <c r="E167" s="58"/>
      <c r="F167" s="58"/>
      <c r="G167" s="58"/>
      <c r="H167" s="58"/>
      <c r="I167" s="58"/>
      <c r="J167" s="58"/>
      <c r="K167" s="58"/>
      <c r="L167" s="58"/>
    </row>
    <row r="168" spans="1:15" ht="14.45" customHeight="1" x14ac:dyDescent="0.25">
      <c r="A168" s="4"/>
      <c r="B168" s="4"/>
      <c r="C168" s="97" t="s">
        <v>9</v>
      </c>
      <c r="D168" s="28" t="s">
        <v>81</v>
      </c>
      <c r="E168" s="100">
        <v>1679</v>
      </c>
      <c r="F168" s="100">
        <v>2946</v>
      </c>
      <c r="G168" s="100">
        <v>1899</v>
      </c>
      <c r="H168" s="53">
        <f>+H122</f>
        <v>1962.170525</v>
      </c>
      <c r="I168" s="53">
        <f t="shared" ref="I168:L168" si="69">+I122</f>
        <v>2169.5611378217577</v>
      </c>
      <c r="J168" s="53">
        <f t="shared" si="69"/>
        <v>2334.3482491988252</v>
      </c>
      <c r="K168" s="53">
        <f t="shared" si="69"/>
        <v>2535.2361702932635</v>
      </c>
      <c r="L168" s="53">
        <f t="shared" si="69"/>
        <v>2685.1688353281825</v>
      </c>
    </row>
    <row r="169" spans="1:15" ht="15.75" x14ac:dyDescent="0.25">
      <c r="A169" s="4"/>
      <c r="B169" s="4"/>
      <c r="C169" s="5" t="s">
        <v>47</v>
      </c>
      <c r="D169" s="4"/>
      <c r="E169" s="87"/>
      <c r="F169" s="87"/>
      <c r="G169" s="87"/>
      <c r="H169" s="87"/>
      <c r="I169" s="87"/>
      <c r="J169" s="87"/>
      <c r="K169" s="87"/>
      <c r="L169" s="87"/>
      <c r="O169" s="92"/>
    </row>
    <row r="170" spans="1:15" ht="15.75" x14ac:dyDescent="0.25">
      <c r="A170" s="4"/>
      <c r="B170" s="4"/>
      <c r="C170" s="55" t="s">
        <v>48</v>
      </c>
      <c r="D170" s="28" t="s">
        <v>81</v>
      </c>
      <c r="E170" s="35">
        <v>299</v>
      </c>
      <c r="F170" s="35">
        <v>262</v>
      </c>
      <c r="G170" s="35">
        <v>244</v>
      </c>
      <c r="H170" s="29">
        <f>+H96*H78</f>
        <v>239.27925000000002</v>
      </c>
      <c r="I170" s="29">
        <f t="shared" ref="I170:L170" si="70">+I96*I78</f>
        <v>263.48867999999999</v>
      </c>
      <c r="J170" s="29">
        <f t="shared" si="70"/>
        <v>289.25201759999999</v>
      </c>
      <c r="K170" s="29">
        <f t="shared" si="70"/>
        <v>313.61008224</v>
      </c>
      <c r="L170" s="29">
        <f t="shared" si="70"/>
        <v>339.16930394256002</v>
      </c>
    </row>
    <row r="171" spans="1:15" ht="15.75" x14ac:dyDescent="0.25">
      <c r="A171" s="4"/>
      <c r="B171" s="4"/>
      <c r="C171" s="55" t="s">
        <v>95</v>
      </c>
      <c r="D171" s="28" t="s">
        <v>81</v>
      </c>
      <c r="E171" s="35">
        <v>2</v>
      </c>
      <c r="F171" s="35">
        <v>3</v>
      </c>
      <c r="G171" s="35">
        <v>2</v>
      </c>
      <c r="H171" s="29">
        <f>+H105</f>
        <v>0</v>
      </c>
      <c r="I171" s="29">
        <f t="shared" ref="I171:L171" si="71">+I105</f>
        <v>0</v>
      </c>
      <c r="J171" s="29">
        <f t="shared" si="71"/>
        <v>0</v>
      </c>
      <c r="K171" s="29">
        <f t="shared" si="71"/>
        <v>0</v>
      </c>
      <c r="L171" s="29">
        <f t="shared" si="71"/>
        <v>0</v>
      </c>
    </row>
    <row r="172" spans="1:15" ht="15.75" x14ac:dyDescent="0.25">
      <c r="A172" s="4"/>
      <c r="B172" s="4"/>
      <c r="C172" s="55" t="s">
        <v>96</v>
      </c>
      <c r="D172" s="28" t="s">
        <v>81</v>
      </c>
      <c r="E172" s="35">
        <v>312</v>
      </c>
      <c r="F172" s="35">
        <v>242</v>
      </c>
      <c r="G172" s="35">
        <v>231</v>
      </c>
      <c r="H172" s="29">
        <f>+H104</f>
        <v>217</v>
      </c>
      <c r="I172" s="29">
        <f t="shared" ref="I172:L172" si="72">+I104</f>
        <v>196</v>
      </c>
      <c r="J172" s="29">
        <f t="shared" si="72"/>
        <v>175</v>
      </c>
      <c r="K172" s="29">
        <f t="shared" si="72"/>
        <v>153</v>
      </c>
      <c r="L172" s="29">
        <f t="shared" si="72"/>
        <v>134</v>
      </c>
    </row>
    <row r="173" spans="1:15" ht="15.75" x14ac:dyDescent="0.25">
      <c r="A173" s="4"/>
      <c r="B173" s="4"/>
      <c r="C173" s="62" t="s">
        <v>117</v>
      </c>
      <c r="D173" s="28" t="s">
        <v>81</v>
      </c>
      <c r="E173" s="35">
        <v>6</v>
      </c>
      <c r="F173" s="35">
        <v>55</v>
      </c>
      <c r="G173" s="35">
        <v>-11</v>
      </c>
      <c r="H173" s="38">
        <f>-H117*H82</f>
        <v>17.642361125494659</v>
      </c>
      <c r="I173" s="38">
        <f t="shared" ref="I173:L173" si="73">-I117*I82</f>
        <v>19.507061486050272</v>
      </c>
      <c r="J173" s="38">
        <f t="shared" si="73"/>
        <v>20.988703214279436</v>
      </c>
      <c r="K173" s="38">
        <f t="shared" si="73"/>
        <v>22.794936263110888</v>
      </c>
      <c r="L173" s="38">
        <f t="shared" si="73"/>
        <v>24.143017985546233</v>
      </c>
    </row>
    <row r="174" spans="1:15" ht="15.75" x14ac:dyDescent="0.25">
      <c r="A174" s="4"/>
      <c r="B174" s="4"/>
      <c r="C174" s="62" t="s">
        <v>49</v>
      </c>
      <c r="D174" s="28" t="s">
        <v>81</v>
      </c>
      <c r="E174" s="35">
        <v>37</v>
      </c>
      <c r="F174" s="35">
        <v>39</v>
      </c>
      <c r="G174" s="35">
        <v>41</v>
      </c>
      <c r="H174" s="29">
        <f>+H96*H80</f>
        <v>39.26432881135834</v>
      </c>
      <c r="I174" s="29">
        <f t="shared" ref="I174:L174" si="74">+I96*I80</f>
        <v>40.834901963812676</v>
      </c>
      <c r="J174" s="29">
        <f t="shared" si="74"/>
        <v>42.468298042365177</v>
      </c>
      <c r="K174" s="29">
        <f t="shared" si="74"/>
        <v>43.742346983636139</v>
      </c>
      <c r="L174" s="29">
        <f t="shared" si="74"/>
        <v>45.054617393145222</v>
      </c>
    </row>
    <row r="175" spans="1:15" ht="15.75" x14ac:dyDescent="0.25">
      <c r="A175" s="4"/>
      <c r="B175" s="4"/>
      <c r="C175" s="49" t="s">
        <v>72</v>
      </c>
      <c r="D175" s="28" t="s">
        <v>81</v>
      </c>
      <c r="E175" s="35">
        <v>76</v>
      </c>
      <c r="F175" s="35">
        <v>-1700</v>
      </c>
      <c r="G175" s="35">
        <v>0</v>
      </c>
      <c r="H175" s="29">
        <f>+H87</f>
        <v>0</v>
      </c>
      <c r="I175" s="29">
        <f t="shared" ref="I175:L175" si="75">+I87</f>
        <v>0</v>
      </c>
      <c r="J175" s="29">
        <f t="shared" si="75"/>
        <v>0</v>
      </c>
      <c r="K175" s="29">
        <f t="shared" si="75"/>
        <v>0</v>
      </c>
      <c r="L175" s="29">
        <f t="shared" si="75"/>
        <v>0</v>
      </c>
    </row>
    <row r="176" spans="1:15" ht="15.75" x14ac:dyDescent="0.25">
      <c r="A176" s="4"/>
      <c r="B176" s="4"/>
      <c r="C176" s="63" t="s">
        <v>50</v>
      </c>
      <c r="D176" s="4"/>
      <c r="E176" s="35"/>
      <c r="F176" s="35"/>
      <c r="G176" s="35"/>
      <c r="H176" s="29"/>
      <c r="I176" s="29"/>
      <c r="J176" s="29"/>
      <c r="K176" s="29"/>
      <c r="L176" s="29"/>
    </row>
    <row r="177" spans="1:12" ht="15.75" x14ac:dyDescent="0.25">
      <c r="A177" s="4"/>
      <c r="B177" s="4"/>
      <c r="C177" s="55" t="s">
        <v>74</v>
      </c>
      <c r="D177" s="28" t="s">
        <v>81</v>
      </c>
      <c r="E177" s="35">
        <v>-83</v>
      </c>
      <c r="F177" s="35">
        <v>-70</v>
      </c>
      <c r="G177" s="35">
        <v>-42</v>
      </c>
      <c r="H177" s="29">
        <f>+G129-H129</f>
        <v>-95.81421150884853</v>
      </c>
      <c r="I177" s="29">
        <f t="shared" ref="I177:L177" si="76">+H129-I129</f>
        <v>-91.952568460354087</v>
      </c>
      <c r="J177" s="29">
        <f t="shared" si="76"/>
        <v>-95.630671198767686</v>
      </c>
      <c r="K177" s="29">
        <f t="shared" si="76"/>
        <v>-74.591923535039314</v>
      </c>
      <c r="L177" s="29">
        <f t="shared" si="76"/>
        <v>-76.829681241090384</v>
      </c>
    </row>
    <row r="178" spans="1:12" ht="15.75" x14ac:dyDescent="0.25">
      <c r="A178" s="4"/>
      <c r="B178" s="4"/>
      <c r="C178" s="55" t="s">
        <v>12</v>
      </c>
      <c r="D178" s="28" t="s">
        <v>81</v>
      </c>
      <c r="E178" s="35">
        <v>24</v>
      </c>
      <c r="F178" s="35">
        <v>-10</v>
      </c>
      <c r="G178" s="35">
        <v>25</v>
      </c>
      <c r="H178" s="29">
        <f t="shared" ref="H178:L178" si="77">+G130-H130</f>
        <v>-42.790993150684926</v>
      </c>
      <c r="I178" s="29">
        <f t="shared" si="77"/>
        <v>-15.777378246575381</v>
      </c>
      <c r="J178" s="29">
        <f t="shared" si="77"/>
        <v>-39.651509681096059</v>
      </c>
      <c r="K178" s="29">
        <f t="shared" si="77"/>
        <v>-4.447530102706196</v>
      </c>
      <c r="L178" s="29">
        <f t="shared" si="77"/>
        <v>-29.288152828879447</v>
      </c>
    </row>
    <row r="179" spans="1:12" ht="15.75" x14ac:dyDescent="0.25">
      <c r="A179" s="4"/>
      <c r="B179" s="4"/>
      <c r="C179" s="30" t="s">
        <v>100</v>
      </c>
      <c r="D179" s="28" t="s">
        <v>81</v>
      </c>
      <c r="E179" s="35">
        <v>226</v>
      </c>
      <c r="F179" s="35">
        <v>-98</v>
      </c>
      <c r="G179" s="35">
        <v>24</v>
      </c>
      <c r="H179" s="29">
        <f>+G131-H131+G138-H138</f>
        <v>-42.754418787514396</v>
      </c>
      <c r="I179" s="29">
        <f t="shared" ref="I179:L179" si="78">+H131-I131+H138-I138</f>
        <v>-63.155307751500459</v>
      </c>
      <c r="J179" s="29">
        <f t="shared" si="78"/>
        <v>-48.554755861560579</v>
      </c>
      <c r="K179" s="29">
        <f t="shared" si="78"/>
        <v>-48.445632004817298</v>
      </c>
      <c r="L179" s="29">
        <f t="shared" si="78"/>
        <v>-31.850740732049871</v>
      </c>
    </row>
    <row r="180" spans="1:12" ht="15.75" x14ac:dyDescent="0.25">
      <c r="A180" s="4"/>
      <c r="B180" s="4"/>
      <c r="C180" s="55" t="s">
        <v>16</v>
      </c>
      <c r="D180" s="28" t="s">
        <v>81</v>
      </c>
      <c r="E180" s="35">
        <v>8</v>
      </c>
      <c r="F180" s="35">
        <v>-20</v>
      </c>
      <c r="G180" s="35">
        <v>-30</v>
      </c>
      <c r="H180" s="29">
        <f>+H145-G145</f>
        <v>2.5163972602739477</v>
      </c>
      <c r="I180" s="29">
        <f t="shared" ref="I180:L180" si="79">+I145-H145</f>
        <v>-7.7041716164383161</v>
      </c>
      <c r="J180" s="29">
        <f t="shared" si="79"/>
        <v>15.375075182465764</v>
      </c>
      <c r="K180" s="29">
        <f t="shared" si="79"/>
        <v>-13.437021633402878</v>
      </c>
      <c r="L180" s="29">
        <f t="shared" si="79"/>
        <v>10.983057310829736</v>
      </c>
    </row>
    <row r="181" spans="1:12" ht="15.75" x14ac:dyDescent="0.25">
      <c r="A181" s="4"/>
      <c r="B181" s="4"/>
      <c r="C181" s="55" t="s">
        <v>27</v>
      </c>
      <c r="D181" s="28" t="s">
        <v>81</v>
      </c>
      <c r="E181" s="35">
        <v>161</v>
      </c>
      <c r="F181" s="35">
        <v>5</v>
      </c>
      <c r="G181" s="35">
        <v>-56</v>
      </c>
      <c r="H181" s="29">
        <f t="shared" ref="H181:L181" si="80">+H146-G146</f>
        <v>48.391472523457878</v>
      </c>
      <c r="I181" s="29">
        <f t="shared" si="80"/>
        <v>13.159905250260636</v>
      </c>
      <c r="J181" s="29">
        <f t="shared" si="80"/>
        <v>47.902055110948595</v>
      </c>
      <c r="K181" s="29">
        <f t="shared" si="80"/>
        <v>0.71168767593439952</v>
      </c>
      <c r="L181" s="29">
        <f t="shared" si="80"/>
        <v>37.384953616818166</v>
      </c>
    </row>
    <row r="182" spans="1:12" ht="14.45" customHeight="1" x14ac:dyDescent="0.25">
      <c r="A182" s="4"/>
      <c r="B182" s="4"/>
      <c r="C182" s="56" t="s">
        <v>68</v>
      </c>
      <c r="D182" s="90" t="s">
        <v>81</v>
      </c>
      <c r="E182" s="44">
        <v>-219</v>
      </c>
      <c r="F182" s="44">
        <v>-38</v>
      </c>
      <c r="G182" s="44">
        <v>-28</v>
      </c>
      <c r="H182" s="50">
        <f>+H147-G147+H153-G153</f>
        <v>-48.989431373745106</v>
      </c>
      <c r="I182" s="50">
        <f t="shared" ref="I182:L182" si="81">+I147-H147+I153-H153</f>
        <v>13.211228540291586</v>
      </c>
      <c r="J182" s="50">
        <f t="shared" si="81"/>
        <v>48.088871886661764</v>
      </c>
      <c r="K182" s="50">
        <f t="shared" si="81"/>
        <v>0.7144632394592918</v>
      </c>
      <c r="L182" s="50">
        <f t="shared" si="81"/>
        <v>37.530753968780004</v>
      </c>
    </row>
    <row r="183" spans="1:12" ht="15.75" x14ac:dyDescent="0.25">
      <c r="A183" s="4"/>
      <c r="B183" s="4"/>
      <c r="C183" s="63" t="s">
        <v>51</v>
      </c>
      <c r="D183" s="28" t="s">
        <v>81</v>
      </c>
      <c r="E183" s="104">
        <v>2528</v>
      </c>
      <c r="F183" s="104">
        <v>1616</v>
      </c>
      <c r="G183" s="104">
        <v>2299</v>
      </c>
      <c r="H183" s="40">
        <f>SUM(H168:H182)</f>
        <v>2295.915279899792</v>
      </c>
      <c r="I183" s="40">
        <f t="shared" ref="I183:L183" si="82">SUM(I168:I182)</f>
        <v>2537.1734889873051</v>
      </c>
      <c r="J183" s="40">
        <f t="shared" si="82"/>
        <v>2789.5863334941214</v>
      </c>
      <c r="K183" s="40">
        <f t="shared" si="82"/>
        <v>2928.8875794194382</v>
      </c>
      <c r="L183" s="40">
        <f t="shared" si="82"/>
        <v>3175.4659647438421</v>
      </c>
    </row>
    <row r="184" spans="1:12" ht="15.75" x14ac:dyDescent="0.25">
      <c r="A184" s="4"/>
      <c r="B184" s="4"/>
      <c r="C184" s="63"/>
      <c r="D184" s="4"/>
      <c r="E184" s="29"/>
      <c r="F184" s="29"/>
      <c r="G184" s="29"/>
      <c r="H184" s="29"/>
      <c r="I184" s="29"/>
      <c r="J184" s="29"/>
      <c r="K184" s="29"/>
      <c r="L184" s="29"/>
    </row>
    <row r="185" spans="1:12" ht="15.75" x14ac:dyDescent="0.25">
      <c r="A185" s="4"/>
      <c r="B185" s="23" t="s">
        <v>52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 ht="15.75" x14ac:dyDescent="0.25">
      <c r="A186" s="4"/>
      <c r="B186" s="4"/>
      <c r="C186" s="30" t="s">
        <v>136</v>
      </c>
      <c r="D186" s="28" t="s">
        <v>81</v>
      </c>
      <c r="E186" s="37">
        <v>-368</v>
      </c>
      <c r="F186" s="37">
        <v>-361</v>
      </c>
      <c r="G186" s="37">
        <v>-284</v>
      </c>
      <c r="H186" s="38">
        <f>+H77</f>
        <v>-285</v>
      </c>
      <c r="I186" s="38">
        <f t="shared" ref="I186:L186" si="83">+I77</f>
        <v>-325</v>
      </c>
      <c r="J186" s="38">
        <f t="shared" si="83"/>
        <v>-375</v>
      </c>
      <c r="K186" s="38">
        <f t="shared" si="83"/>
        <v>-425</v>
      </c>
      <c r="L186" s="38">
        <f t="shared" si="83"/>
        <v>-475</v>
      </c>
    </row>
    <row r="187" spans="1:12" ht="15.75" x14ac:dyDescent="0.25">
      <c r="A187" s="4"/>
      <c r="B187" s="4"/>
      <c r="C187" s="30" t="s">
        <v>111</v>
      </c>
      <c r="D187" s="90" t="s">
        <v>81</v>
      </c>
      <c r="E187" s="37">
        <v>-88</v>
      </c>
      <c r="F187" s="37">
        <v>3203</v>
      </c>
      <c r="G187" s="37">
        <v>74</v>
      </c>
      <c r="H187" s="38">
        <f>+H88</f>
        <v>0</v>
      </c>
      <c r="I187" s="38">
        <f t="shared" ref="I187:L187" si="84">+I88</f>
        <v>0</v>
      </c>
      <c r="J187" s="38">
        <f t="shared" si="84"/>
        <v>0</v>
      </c>
      <c r="K187" s="38">
        <f t="shared" si="84"/>
        <v>0</v>
      </c>
      <c r="L187" s="38">
        <f t="shared" si="84"/>
        <v>0</v>
      </c>
    </row>
    <row r="188" spans="1:12" ht="15.75" x14ac:dyDescent="0.25">
      <c r="A188" s="4"/>
      <c r="B188" s="4"/>
      <c r="C188" s="74" t="s">
        <v>53</v>
      </c>
      <c r="D188" s="28" t="s">
        <v>81</v>
      </c>
      <c r="E188" s="107">
        <v>-456</v>
      </c>
      <c r="F188" s="107">
        <v>2842</v>
      </c>
      <c r="G188" s="107">
        <v>-210</v>
      </c>
      <c r="H188" s="73">
        <f>SUM(H186:H187)</f>
        <v>-285</v>
      </c>
      <c r="I188" s="73">
        <f t="shared" ref="I188:L188" si="85">SUM(I186:I187)</f>
        <v>-325</v>
      </c>
      <c r="J188" s="73">
        <f t="shared" si="85"/>
        <v>-375</v>
      </c>
      <c r="K188" s="73">
        <f t="shared" si="85"/>
        <v>-425</v>
      </c>
      <c r="L188" s="73">
        <f t="shared" si="85"/>
        <v>-475</v>
      </c>
    </row>
    <row r="189" spans="1:12" ht="15.75" x14ac:dyDescent="0.25">
      <c r="A189" s="4"/>
      <c r="B189" s="4"/>
      <c r="C189" s="63"/>
      <c r="D189" s="4"/>
      <c r="E189" s="29"/>
      <c r="F189" s="29"/>
      <c r="G189" s="29"/>
      <c r="H189" s="29"/>
      <c r="I189" s="29"/>
      <c r="J189" s="29"/>
      <c r="K189" s="29"/>
      <c r="L189" s="29"/>
    </row>
    <row r="190" spans="1:12" ht="15.75" x14ac:dyDescent="0.25">
      <c r="A190" s="4"/>
      <c r="B190" s="23" t="s">
        <v>54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 ht="15.75" x14ac:dyDescent="0.25">
      <c r="A191" s="4"/>
      <c r="B191" s="4"/>
      <c r="C191" s="62" t="s">
        <v>71</v>
      </c>
      <c r="D191" s="28" t="s">
        <v>81</v>
      </c>
      <c r="E191" s="35">
        <v>-528</v>
      </c>
      <c r="F191" s="35">
        <v>-711</v>
      </c>
      <c r="G191" s="35">
        <v>-742</v>
      </c>
      <c r="H191" s="29">
        <f>-H83*H122</f>
        <v>-619.09688882774435</v>
      </c>
      <c r="I191" s="29">
        <f t="shared" ref="I191:L191" si="86">-I83*I122</f>
        <v>-684.53201871790998</v>
      </c>
      <c r="J191" s="29">
        <f t="shared" si="86"/>
        <v>-736.52504718950706</v>
      </c>
      <c r="K191" s="29">
        <f t="shared" si="86"/>
        <v>-799.90847149848253</v>
      </c>
      <c r="L191" s="29">
        <f t="shared" si="86"/>
        <v>-847.21467922819579</v>
      </c>
    </row>
    <row r="192" spans="1:12" ht="14.45" customHeight="1" x14ac:dyDescent="0.25">
      <c r="A192" s="4"/>
      <c r="B192" s="4"/>
      <c r="C192" s="62" t="s">
        <v>86</v>
      </c>
      <c r="D192" s="28" t="s">
        <v>81</v>
      </c>
      <c r="E192" s="35">
        <v>-1900</v>
      </c>
      <c r="F192" s="35">
        <v>-4198</v>
      </c>
      <c r="G192" s="35">
        <v>-1943</v>
      </c>
      <c r="H192" s="38">
        <f>-H85</f>
        <v>-1000</v>
      </c>
      <c r="I192" s="38">
        <f t="shared" ref="I192:L192" si="87">-I85</f>
        <v>-1000</v>
      </c>
      <c r="J192" s="38">
        <f t="shared" si="87"/>
        <v>-1000</v>
      </c>
      <c r="K192" s="38">
        <f t="shared" si="87"/>
        <v>-1000</v>
      </c>
      <c r="L192" s="38">
        <f t="shared" si="87"/>
        <v>-1000</v>
      </c>
    </row>
    <row r="193" spans="1:12" ht="15.75" x14ac:dyDescent="0.25">
      <c r="A193" s="4"/>
      <c r="B193" s="4"/>
      <c r="C193" s="62" t="s">
        <v>92</v>
      </c>
      <c r="D193" s="28" t="s">
        <v>81</v>
      </c>
      <c r="E193" s="35">
        <v>1264</v>
      </c>
      <c r="F193" s="35">
        <v>1339</v>
      </c>
      <c r="G193" s="35">
        <v>151</v>
      </c>
      <c r="H193" s="38">
        <f>+H56</f>
        <v>-742.2</v>
      </c>
      <c r="I193" s="38">
        <f t="shared" ref="I193:L193" si="88">+I56</f>
        <v>-742.2</v>
      </c>
      <c r="J193" s="38">
        <f t="shared" si="88"/>
        <v>-742.2</v>
      </c>
      <c r="K193" s="38">
        <f t="shared" si="88"/>
        <v>-742.2</v>
      </c>
      <c r="L193" s="38">
        <f t="shared" si="88"/>
        <v>-742.2</v>
      </c>
    </row>
    <row r="194" spans="1:12" ht="15.75" x14ac:dyDescent="0.25">
      <c r="A194" s="4"/>
      <c r="B194" s="4"/>
      <c r="C194" s="64" t="s">
        <v>110</v>
      </c>
      <c r="D194" s="90" t="s">
        <v>81</v>
      </c>
      <c r="E194" s="44">
        <v>24</v>
      </c>
      <c r="F194" s="44">
        <v>19</v>
      </c>
      <c r="G194" s="37">
        <v>8</v>
      </c>
      <c r="H194" s="38">
        <f>+H89</f>
        <v>0</v>
      </c>
      <c r="I194" s="38">
        <f t="shared" ref="I194:L194" si="89">+I89</f>
        <v>0</v>
      </c>
      <c r="J194" s="38">
        <f t="shared" si="89"/>
        <v>0</v>
      </c>
      <c r="K194" s="38">
        <f t="shared" si="89"/>
        <v>0</v>
      </c>
      <c r="L194" s="38">
        <f t="shared" si="89"/>
        <v>0</v>
      </c>
    </row>
    <row r="195" spans="1:12" ht="14.45" customHeight="1" x14ac:dyDescent="0.25">
      <c r="A195" s="4"/>
      <c r="B195" s="4"/>
      <c r="C195" s="58" t="s">
        <v>55</v>
      </c>
      <c r="D195" s="28" t="s">
        <v>81</v>
      </c>
      <c r="E195" s="104">
        <v>-1140</v>
      </c>
      <c r="F195" s="104">
        <v>-3551</v>
      </c>
      <c r="G195" s="109">
        <v>-2526</v>
      </c>
      <c r="H195" s="65">
        <f>SUM(H191:H194)</f>
        <v>-2361.2968888277446</v>
      </c>
      <c r="I195" s="65">
        <f t="shared" ref="I195:L195" si="90">SUM(I191:I194)</f>
        <v>-2426.7320187179103</v>
      </c>
      <c r="J195" s="65">
        <f t="shared" si="90"/>
        <v>-2478.7250471895068</v>
      </c>
      <c r="K195" s="65">
        <f t="shared" si="90"/>
        <v>-2542.1084714984827</v>
      </c>
      <c r="L195" s="65">
        <f t="shared" si="90"/>
        <v>-2589.4146792281958</v>
      </c>
    </row>
    <row r="196" spans="1:12" ht="15.75" x14ac:dyDescent="0.25">
      <c r="A196" s="4"/>
      <c r="B196" s="4"/>
      <c r="C196" s="58"/>
      <c r="D196" s="4"/>
      <c r="E196" s="29"/>
      <c r="F196" s="29"/>
      <c r="G196" s="29"/>
      <c r="H196" s="29"/>
      <c r="I196" s="29"/>
      <c r="J196" s="29"/>
      <c r="K196" s="29"/>
      <c r="L196" s="29"/>
    </row>
    <row r="197" spans="1:12" ht="14.45" customHeight="1" x14ac:dyDescent="0.25">
      <c r="A197" s="4"/>
      <c r="B197" s="4"/>
      <c r="C197" s="42" t="s">
        <v>112</v>
      </c>
      <c r="D197" s="28" t="s">
        <v>81</v>
      </c>
      <c r="E197" s="35">
        <v>-93</v>
      </c>
      <c r="F197" s="37">
        <v>-535</v>
      </c>
      <c r="G197" s="37">
        <v>-463</v>
      </c>
      <c r="H197" s="29">
        <f>+H91*H96</f>
        <v>-366.21958485569428</v>
      </c>
      <c r="I197" s="29">
        <f t="shared" ref="I197:L197" si="91">+I91*I96</f>
        <v>-380.86836824992207</v>
      </c>
      <c r="J197" s="29">
        <f t="shared" si="91"/>
        <v>-396.1031029799189</v>
      </c>
      <c r="K197" s="29">
        <f t="shared" si="91"/>
        <v>-407.98619606931652</v>
      </c>
      <c r="L197" s="29">
        <f t="shared" si="91"/>
        <v>-420.22578195139602</v>
      </c>
    </row>
    <row r="198" spans="1:12" ht="15.75" x14ac:dyDescent="0.25">
      <c r="A198" s="4"/>
      <c r="B198" s="4"/>
      <c r="C198" s="42"/>
      <c r="D198" s="4"/>
      <c r="E198" s="29"/>
      <c r="F198" s="29"/>
      <c r="G198" s="29"/>
      <c r="H198" s="29"/>
      <c r="I198" s="29"/>
      <c r="J198" s="29"/>
      <c r="K198" s="29"/>
      <c r="L198" s="29"/>
    </row>
    <row r="199" spans="1:12" ht="14.45" customHeight="1" x14ac:dyDescent="0.25">
      <c r="A199" s="4"/>
      <c r="B199" s="4"/>
      <c r="C199" s="52" t="s">
        <v>120</v>
      </c>
      <c r="D199" s="28" t="s">
        <v>81</v>
      </c>
      <c r="E199" s="110">
        <v>839</v>
      </c>
      <c r="F199" s="110">
        <v>372</v>
      </c>
      <c r="G199" s="110">
        <v>-900</v>
      </c>
      <c r="H199" s="66">
        <f>+H183+H188+H195+H197</f>
        <v>-716.60119378364686</v>
      </c>
      <c r="I199" s="66">
        <f t="shared" ref="I199:L199" si="92">+I183+I188+I195+I197</f>
        <v>-595.4268979805272</v>
      </c>
      <c r="J199" s="66">
        <f t="shared" si="92"/>
        <v>-460.24181667530428</v>
      </c>
      <c r="K199" s="66">
        <f t="shared" si="92"/>
        <v>-446.20708814836098</v>
      </c>
      <c r="L199" s="66">
        <f t="shared" si="92"/>
        <v>-309.1744964357498</v>
      </c>
    </row>
    <row r="200" spans="1:12" ht="14.45" customHeight="1" x14ac:dyDescent="0.25">
      <c r="A200" s="4"/>
      <c r="B200" s="4"/>
      <c r="C200" s="67" t="s">
        <v>56</v>
      </c>
      <c r="D200" s="90" t="s">
        <v>81</v>
      </c>
      <c r="E200" s="101">
        <v>2779</v>
      </c>
      <c r="F200" s="101">
        <v>3618</v>
      </c>
      <c r="G200" s="37">
        <v>3990</v>
      </c>
      <c r="H200" s="38">
        <f>+G201</f>
        <v>3090</v>
      </c>
      <c r="I200" s="38">
        <f t="shared" ref="I200:L200" si="93">+H201</f>
        <v>2373.398806216353</v>
      </c>
      <c r="J200" s="38">
        <f t="shared" si="93"/>
        <v>1777.9719082358258</v>
      </c>
      <c r="K200" s="38">
        <f t="shared" si="93"/>
        <v>1317.7300915605215</v>
      </c>
      <c r="L200" s="38">
        <f t="shared" si="93"/>
        <v>871.52300341216051</v>
      </c>
    </row>
    <row r="201" spans="1:12" ht="14.45" customHeight="1" x14ac:dyDescent="0.25">
      <c r="A201" s="4"/>
      <c r="B201" s="4"/>
      <c r="C201" s="63" t="s">
        <v>57</v>
      </c>
      <c r="D201" s="28" t="s">
        <v>81</v>
      </c>
      <c r="E201" s="108">
        <v>3618</v>
      </c>
      <c r="F201" s="108">
        <v>3990</v>
      </c>
      <c r="G201" s="111">
        <v>3090</v>
      </c>
      <c r="H201" s="68">
        <f>SUM(H199:H200)</f>
        <v>2373.398806216353</v>
      </c>
      <c r="I201" s="68">
        <f t="shared" ref="I201:L201" si="94">SUM(I199:I200)</f>
        <v>1777.9719082358258</v>
      </c>
      <c r="J201" s="68">
        <f t="shared" si="94"/>
        <v>1317.7300915605215</v>
      </c>
      <c r="K201" s="68">
        <f t="shared" si="94"/>
        <v>871.52300341216051</v>
      </c>
      <c r="L201" s="68">
        <f t="shared" si="94"/>
        <v>562.3485069764107</v>
      </c>
    </row>
  </sheetData>
  <pageMargins left="0.7" right="0.7" top="0.75" bottom="0.75" header="0.3" footer="0.3"/>
  <pageSetup scale="49" orientation="portrait" horizontalDpi="200" verticalDpi="200" r:id="rId1"/>
  <rowBreaks count="4" manualBreakCount="4">
    <brk id="42" max="12" man="1"/>
    <brk id="92" max="14" man="1"/>
    <brk id="123" max="14" man="1"/>
    <brk id="16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ITW-3-Statements</vt:lpstr>
      <vt:lpstr>Cash_Interest_Rate</vt:lpstr>
      <vt:lpstr>Company_Name</vt:lpstr>
      <vt:lpstr>Debt_Interest_Rate</vt:lpstr>
      <vt:lpstr>GM_Improv</vt:lpstr>
      <vt:lpstr>Hist_Yr</vt:lpstr>
      <vt:lpstr>'ITW-3-Statements'!Print_Area</vt:lpstr>
      <vt:lpstr>Share_Price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shayan mohammadi</dc:creator>
  <cp:lastModifiedBy>BIWS</cp:lastModifiedBy>
  <dcterms:created xsi:type="dcterms:W3CDTF">2016-08-02T00:46:07Z</dcterms:created>
  <dcterms:modified xsi:type="dcterms:W3CDTF">2017-06-27T19:46:09Z</dcterms:modified>
</cp:coreProperties>
</file>