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defaultThemeVersion="124226"/>
  <xr:revisionPtr revIDLastSave="0" documentId="13_ncr:1_{958F3E4F-69AA-481E-83D8-413FC963C3E4}" xr6:coauthVersionLast="45" xr6:coauthVersionMax="45" xr10:uidLastSave="{00000000-0000-0000-0000-000000000000}"/>
  <bookViews>
    <workbookView xWindow="-120" yWindow="-120" windowWidth="29040" windowHeight="15840" xr2:uid="{00000000-000D-0000-FFFF-FFFF00000000}"/>
  </bookViews>
  <sheets>
    <sheet name="Comps" sheetId="4" r:id="rId1"/>
    <sheet name="TGT" sheetId="2" r:id="rId2"/>
    <sheet name="VIV" sheetId="1" r:id="rId3"/>
    <sheet name="ZEN" sheetId="3" r:id="rId4"/>
  </sheets>
  <definedNames>
    <definedName name="Basic_Shares" localSheetId="0">Comps!#REF!</definedName>
    <definedName name="Basic_Shares" localSheetId="1">TGT!$F$11</definedName>
    <definedName name="Basic_Shares" localSheetId="3">ZEN!$F$11</definedName>
    <definedName name="Basic_Shares">VIV!$F$11</definedName>
    <definedName name="Company_Name" localSheetId="0">Comps!#REF!</definedName>
    <definedName name="Company_Name" localSheetId="1">TGT!$F$7</definedName>
    <definedName name="Company_Name" localSheetId="3">ZEN!$F$7</definedName>
    <definedName name="Company_Name">VIV!$F$7</definedName>
    <definedName name="Diluted_Shares" localSheetId="0">Comps!#REF!</definedName>
    <definedName name="Diluted_Shares" localSheetId="1">TGT!$F$12</definedName>
    <definedName name="Diluted_Shares" localSheetId="3">ZEN!$F$12</definedName>
    <definedName name="Diluted_Shares">VIV!$F$12</definedName>
    <definedName name="_xlnm.Print_Area" localSheetId="0">Comps!$A$1:$P$56</definedName>
    <definedName name="_xlnm.Print_Area" localSheetId="1">TGT!$A$1:$N$65</definedName>
    <definedName name="_xlnm.Print_Area" localSheetId="2">VIV!$A$1:$O$67</definedName>
    <definedName name="_xlnm.Print_Area" localSheetId="3">ZEN!$A$1:$N$79</definedName>
    <definedName name="Share_Price" localSheetId="0">Comps!#REF!</definedName>
    <definedName name="Share_Price" localSheetId="1">TGT!$F$10</definedName>
    <definedName name="Share_Price" localSheetId="3">ZEN!$F$10</definedName>
    <definedName name="Share_Price">VIV!$F$10</definedName>
    <definedName name="Tax_Rate" localSheetId="0">Comps!#REF!</definedName>
    <definedName name="Tax_Rate" localSheetId="1">TGT!$F$13</definedName>
    <definedName name="Tax_Rate" localSheetId="2">VIV!$F$13</definedName>
    <definedName name="Tax_Rate" localSheetId="3">ZEN!$F$13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3" l="1"/>
  <c r="F22" i="3" l="1"/>
  <c r="F52" i="4" l="1"/>
  <c r="J52" i="4" s="1"/>
  <c r="K48" i="4"/>
  <c r="O48" i="4"/>
  <c r="J48" i="4"/>
  <c r="M48" i="4"/>
  <c r="N48" i="4"/>
  <c r="L48" i="4"/>
  <c r="O47" i="4"/>
  <c r="N47" i="4"/>
  <c r="M47" i="4"/>
  <c r="L47" i="4"/>
  <c r="K47" i="4"/>
  <c r="J47" i="4"/>
  <c r="O46" i="4"/>
  <c r="N46" i="4"/>
  <c r="M46" i="4"/>
  <c r="L46" i="4"/>
  <c r="K46" i="4"/>
  <c r="J46" i="4"/>
  <c r="K45" i="4"/>
  <c r="J45" i="4"/>
  <c r="K44" i="4"/>
  <c r="J44" i="4"/>
  <c r="O12" i="4"/>
  <c r="N12" i="4"/>
  <c r="M12" i="4"/>
  <c r="L12" i="4"/>
  <c r="O11" i="4"/>
  <c r="N11" i="4"/>
  <c r="M11" i="4"/>
  <c r="L11" i="4"/>
  <c r="O10" i="4"/>
  <c r="N10" i="4"/>
  <c r="M10" i="4"/>
  <c r="L10" i="4"/>
  <c r="O9" i="4"/>
  <c r="N9" i="4"/>
  <c r="M9" i="4"/>
  <c r="L9" i="4"/>
  <c r="K32" i="4"/>
  <c r="K31" i="4"/>
  <c r="K30" i="4"/>
  <c r="K29" i="4"/>
  <c r="K28" i="4"/>
  <c r="K27" i="4"/>
  <c r="K26" i="4"/>
  <c r="K25" i="4"/>
  <c r="I50" i="4"/>
  <c r="H50" i="4"/>
  <c r="G50" i="4"/>
  <c r="F50" i="4"/>
  <c r="E50" i="4"/>
  <c r="D50" i="4"/>
  <c r="O45" i="4"/>
  <c r="N45" i="4"/>
  <c r="M45" i="4"/>
  <c r="L45" i="4"/>
  <c r="O44" i="4"/>
  <c r="N44" i="4"/>
  <c r="M44" i="4"/>
  <c r="L44" i="4"/>
  <c r="K50" i="4" l="1"/>
  <c r="M50" i="4"/>
  <c r="O50" i="4"/>
  <c r="L50" i="4"/>
  <c r="N50" i="4"/>
  <c r="J50" i="4"/>
  <c r="F36" i="4" l="1"/>
  <c r="J36" i="4" s="1"/>
  <c r="O32" i="4"/>
  <c r="N32" i="4"/>
  <c r="M32" i="4"/>
  <c r="L32" i="4"/>
  <c r="O31" i="4"/>
  <c r="N31" i="4"/>
  <c r="M31" i="4"/>
  <c r="L31" i="4"/>
  <c r="O30" i="4"/>
  <c r="N30" i="4"/>
  <c r="M30" i="4"/>
  <c r="L30" i="4"/>
  <c r="O29" i="4"/>
  <c r="N29" i="4"/>
  <c r="M29" i="4"/>
  <c r="L29" i="4"/>
  <c r="O28" i="4"/>
  <c r="N28" i="4"/>
  <c r="M28" i="4"/>
  <c r="L28" i="4"/>
  <c r="O27" i="4"/>
  <c r="N27" i="4"/>
  <c r="M27" i="4"/>
  <c r="L27" i="4"/>
  <c r="O26" i="4"/>
  <c r="N26" i="4"/>
  <c r="M26" i="4"/>
  <c r="L26" i="4"/>
  <c r="O25" i="4"/>
  <c r="N25" i="4"/>
  <c r="M25" i="4"/>
  <c r="L25" i="4"/>
  <c r="J32" i="4" l="1"/>
  <c r="J31" i="4"/>
  <c r="J30" i="4"/>
  <c r="J29" i="4"/>
  <c r="J28" i="4"/>
  <c r="J27" i="4"/>
  <c r="J26" i="4"/>
  <c r="I34" i="4"/>
  <c r="H34" i="4"/>
  <c r="G34" i="4"/>
  <c r="F34" i="4"/>
  <c r="E34" i="4"/>
  <c r="D34" i="4"/>
  <c r="O34" i="4"/>
  <c r="N34" i="4"/>
  <c r="M34" i="4"/>
  <c r="L34" i="4"/>
  <c r="J25" i="4"/>
  <c r="F16" i="4"/>
  <c r="J16" i="4" s="1"/>
  <c r="I14" i="4"/>
  <c r="H14" i="4"/>
  <c r="G14" i="4"/>
  <c r="F14" i="4"/>
  <c r="E14" i="4"/>
  <c r="D14" i="4"/>
  <c r="J34" i="4" l="1"/>
  <c r="K34" i="4"/>
  <c r="O14" i="4" l="1"/>
  <c r="N14" i="4"/>
  <c r="M14" i="4"/>
  <c r="L14" i="4"/>
  <c r="K10" i="4"/>
  <c r="K11" i="4"/>
  <c r="K12" i="4"/>
  <c r="K9" i="4"/>
  <c r="J12" i="4"/>
  <c r="J11" i="4"/>
  <c r="J10" i="4"/>
  <c r="K14" i="4" l="1"/>
  <c r="J9" i="4"/>
  <c r="J14" i="4" s="1"/>
  <c r="F65" i="3" l="1"/>
  <c r="F51" i="2" l="1"/>
  <c r="M54" i="1" l="1"/>
  <c r="M53" i="1"/>
  <c r="M43" i="1"/>
  <c r="M50" i="1" s="1"/>
  <c r="M48" i="1"/>
  <c r="M62" i="3"/>
  <c r="M60" i="3"/>
  <c r="M48" i="2"/>
  <c r="M46" i="2"/>
  <c r="M44" i="1"/>
  <c r="M51" i="1" s="1"/>
  <c r="M45" i="1"/>
  <c r="M52" i="1" s="1"/>
  <c r="M56" i="3"/>
  <c r="M63" i="3" s="1"/>
  <c r="M54" i="3"/>
  <c r="M61" i="3" s="1"/>
  <c r="M42" i="2"/>
  <c r="M49" i="2" s="1"/>
  <c r="M43" i="2"/>
  <c r="M50" i="2" s="1"/>
  <c r="M40" i="2"/>
  <c r="M47" i="2" s="1"/>
  <c r="M48" i="3"/>
  <c r="M57" i="3" s="1"/>
  <c r="M64" i="3" s="1"/>
  <c r="M35" i="1"/>
  <c r="M37" i="1" s="1"/>
  <c r="M35" i="2"/>
  <c r="M53" i="2" l="1"/>
  <c r="M67" i="3"/>
  <c r="M49" i="3"/>
  <c r="I51" i="1"/>
  <c r="I50" i="1"/>
  <c r="I45" i="1"/>
  <c r="I52" i="1" s="1"/>
  <c r="I42" i="1"/>
  <c r="I49" i="1" s="1"/>
  <c r="I64" i="3"/>
  <c r="I63" i="3"/>
  <c r="I62" i="3"/>
  <c r="I57" i="3"/>
  <c r="I54" i="3"/>
  <c r="I61" i="3" s="1"/>
  <c r="I40" i="2"/>
  <c r="I43" i="2"/>
  <c r="I50" i="2" s="1"/>
  <c r="I47" i="2"/>
  <c r="I48" i="2"/>
  <c r="I49" i="2"/>
  <c r="F40" i="1" l="1"/>
  <c r="M42" i="1" s="1"/>
  <c r="M49" i="1" s="1"/>
  <c r="M55" i="1" s="1"/>
  <c r="F39" i="1"/>
  <c r="M39" i="1" s="1"/>
  <c r="M41" i="1" s="1"/>
  <c r="M46" i="1" s="1"/>
  <c r="F54" i="3"/>
  <c r="F51" i="3"/>
  <c r="M51" i="3" s="1"/>
  <c r="M53" i="3" s="1"/>
  <c r="M58" i="3" s="1"/>
  <c r="F37" i="2"/>
  <c r="M37" i="2" s="1"/>
  <c r="M39" i="2" s="1"/>
  <c r="M44" i="2" s="1"/>
  <c r="F39" i="2" l="1"/>
  <c r="F41" i="1"/>
  <c r="F53" i="3"/>
  <c r="F19" i="3"/>
  <c r="F42" i="2" l="1"/>
  <c r="H16" i="4"/>
  <c r="K16" i="4" s="1"/>
  <c r="F56" i="3"/>
  <c r="H36" i="4"/>
  <c r="K36" i="4" s="1"/>
  <c r="F44" i="1"/>
  <c r="H52" i="4"/>
  <c r="K52" i="4" s="1"/>
  <c r="F23" i="1"/>
  <c r="F25" i="1"/>
  <c r="F53" i="1" s="1"/>
  <c r="F19" i="1" l="1"/>
  <c r="F27" i="2"/>
  <c r="F23" i="2"/>
  <c r="B2" i="1" l="1"/>
  <c r="B2" i="2"/>
  <c r="M40" i="3" l="1"/>
  <c r="M36" i="3"/>
  <c r="M33" i="3"/>
  <c r="F23" i="3" s="1"/>
  <c r="M32" i="3"/>
  <c r="M35" i="3" s="1"/>
  <c r="K40" i="3" s="1"/>
  <c r="M22" i="1"/>
  <c r="M18" i="2"/>
  <c r="M25" i="2"/>
  <c r="M41" i="3" l="1"/>
  <c r="M43" i="3" s="1"/>
  <c r="K41" i="3"/>
  <c r="K26" i="3" l="1"/>
  <c r="M25" i="3"/>
  <c r="M26" i="3" s="1"/>
  <c r="K19" i="3"/>
  <c r="M18" i="3"/>
  <c r="M19" i="3" s="1"/>
  <c r="F15" i="3"/>
  <c r="K12" i="3"/>
  <c r="M11" i="3"/>
  <c r="M12" i="3" s="1"/>
  <c r="B5" i="3"/>
  <c r="K19" i="2"/>
  <c r="F12" i="3" l="1"/>
  <c r="F17" i="3" s="1"/>
  <c r="D36" i="4" s="1"/>
  <c r="N26" i="3"/>
  <c r="F29" i="3" l="1"/>
  <c r="F62" i="3"/>
  <c r="M15" i="1"/>
  <c r="M14" i="1"/>
  <c r="M13" i="1"/>
  <c r="M12" i="1"/>
  <c r="M11" i="1"/>
  <c r="M11" i="2"/>
  <c r="F15" i="2"/>
  <c r="F15" i="1"/>
  <c r="F64" i="3" l="1"/>
  <c r="F68" i="3" s="1"/>
  <c r="E36" i="4"/>
  <c r="K12" i="2"/>
  <c r="M26" i="2"/>
  <c r="K26" i="2"/>
  <c r="M19" i="2"/>
  <c r="M12" i="2"/>
  <c r="B5" i="2"/>
  <c r="K16" i="1"/>
  <c r="F66" i="3" l="1"/>
  <c r="O36" i="4"/>
  <c r="N36" i="4"/>
  <c r="L36" i="4"/>
  <c r="M36" i="4"/>
  <c r="F12" i="2"/>
  <c r="F17" i="2" s="1"/>
  <c r="D16" i="4" s="1"/>
  <c r="M16" i="1"/>
  <c r="M23" i="1"/>
  <c r="K23" i="1"/>
  <c r="F29" i="2" l="1"/>
  <c r="F48" i="2"/>
  <c r="B5" i="1"/>
  <c r="F50" i="2" l="1"/>
  <c r="E16" i="4"/>
  <c r="F64" i="2"/>
  <c r="F62" i="2"/>
  <c r="F60" i="2"/>
  <c r="F56" i="2"/>
  <c r="F63" i="2"/>
  <c r="F57" i="2"/>
  <c r="F54" i="2"/>
  <c r="F52" i="2"/>
  <c r="F58" i="2" s="1"/>
  <c r="K31" i="1"/>
  <c r="M31" i="1"/>
  <c r="F12" i="1" s="1"/>
  <c r="F17" i="1" s="1"/>
  <c r="D52" i="4" s="1"/>
  <c r="M16" i="4" l="1"/>
  <c r="L16" i="4"/>
  <c r="N16" i="4"/>
  <c r="O16" i="4"/>
  <c r="F29" i="1"/>
  <c r="F50" i="1"/>
  <c r="N27" i="1"/>
  <c r="F54" i="1" l="1"/>
  <c r="F56" i="1" s="1"/>
  <c r="E52" i="4"/>
  <c r="F64" i="1"/>
  <c r="F62" i="1"/>
  <c r="F66" i="1"/>
  <c r="F59" i="1" l="1"/>
  <c r="F60" i="1"/>
  <c r="F52" i="1"/>
  <c r="F65" i="1" s="1"/>
  <c r="O52" i="4"/>
  <c r="L52" i="4"/>
  <c r="M52" i="4"/>
  <c r="N5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11" authorId="0" shapeId="0" xr:uid="{59E21B00-BED6-418B-872B-836DFD704462}">
      <text>
        <r>
          <rPr>
            <b/>
            <sz val="9"/>
            <color indexed="81"/>
            <rFont val="Tahoma"/>
            <family val="2"/>
          </rPr>
          <t>BIWS:</t>
        </r>
        <r>
          <rPr>
            <sz val="9"/>
            <color indexed="81"/>
            <rFont val="Tahoma"/>
            <family val="2"/>
          </rPr>
          <t xml:space="preserve">
Using Options Exercisable, not Options Outstanding.</t>
        </r>
      </text>
    </comment>
    <comment ref="F23" authorId="0" shapeId="0" xr:uid="{45234812-E3C5-465C-A6C9-E55FC15BEC7B}">
      <text>
        <r>
          <rPr>
            <b/>
            <sz val="9"/>
            <color indexed="81"/>
            <rFont val="Tahoma"/>
            <family val="2"/>
          </rPr>
          <t>BIWS:</t>
        </r>
        <r>
          <rPr>
            <sz val="9"/>
            <color indexed="81"/>
            <rFont val="Tahoma"/>
            <family val="2"/>
          </rPr>
          <t xml:space="preserve">
Using fair market value of Long-Term Debt, but book values for the rest.</t>
        </r>
      </text>
    </comment>
    <comment ref="F25" authorId="0" shapeId="0" xr:uid="{30F9FB3F-E8F7-482C-AF06-D6326EE94B20}">
      <text>
        <r>
          <rPr>
            <b/>
            <sz val="9"/>
            <color indexed="81"/>
            <rFont val="Tahoma"/>
            <family val="2"/>
          </rPr>
          <t xml:space="preserve">BIWS:
</t>
        </r>
        <r>
          <rPr>
            <sz val="9"/>
            <color indexed="81"/>
            <rFont val="Tahoma"/>
            <family val="2"/>
          </rPr>
          <t>Not counting Operating Leases here so that metrics such as EBIT and EBITDA continue to be valid.</t>
        </r>
      </text>
    </comment>
    <comment ref="F27" authorId="0" shapeId="0" xr:uid="{49E50124-77D7-494E-859D-5385ADE5A068}">
      <text>
        <r>
          <rPr>
            <b/>
            <sz val="9"/>
            <color indexed="81"/>
            <rFont val="Tahoma"/>
            <family val="2"/>
          </rPr>
          <t>BIWS:</t>
        </r>
        <r>
          <rPr>
            <sz val="9"/>
            <color indexed="81"/>
            <rFont val="Tahoma"/>
            <family val="2"/>
          </rPr>
          <t xml:space="preserve">
Tax-adjusting since contributions into defined-benefit U.S. pension plans are tax-deductible.</t>
        </r>
      </text>
    </comment>
    <comment ref="F28" authorId="0" shapeId="0" xr:uid="{EE2BF2F6-76BD-4CF4-A62A-4484D37CB610}">
      <text>
        <r>
          <rPr>
            <b/>
            <sz val="9"/>
            <color indexed="81"/>
            <rFont val="Tahoma"/>
            <family val="2"/>
          </rPr>
          <t>BIWS:</t>
        </r>
        <r>
          <rPr>
            <sz val="9"/>
            <color indexed="81"/>
            <rFont val="Tahoma"/>
            <family val="2"/>
          </rPr>
          <t xml:space="preserve">
Split this out from the other Debt and Debt-like items, even though they're all in the same Balance Sheet line item.</t>
        </r>
      </text>
    </comment>
    <comment ref="F33" authorId="0" shapeId="0" xr:uid="{9555DA4C-1A5E-4AA0-BC4C-94ABB701727A}">
      <text>
        <r>
          <rPr>
            <b/>
            <sz val="9"/>
            <color indexed="81"/>
            <rFont val="Tahoma"/>
            <family val="2"/>
          </rPr>
          <t>BIWS:</t>
        </r>
        <r>
          <rPr>
            <sz val="9"/>
            <color indexed="81"/>
            <rFont val="Tahoma"/>
            <family val="2"/>
          </rPr>
          <t xml:space="preserve">
We *do* want to include "Other Revenue" from subleasing here because we're not adjusting Enterprise Value for the Operating Leases at all.</t>
        </r>
      </text>
    </comment>
    <comment ref="F36" authorId="0" shapeId="0" xr:uid="{94E5605F-B832-4199-AB92-EE466B07A1A8}">
      <text>
        <r>
          <rPr>
            <b/>
            <sz val="9"/>
            <color indexed="81"/>
            <rFont val="Tahoma"/>
            <family val="2"/>
          </rPr>
          <t>BIWS:</t>
        </r>
        <r>
          <rPr>
            <sz val="9"/>
            <color indexed="81"/>
            <rFont val="Tahoma"/>
            <family val="2"/>
          </rPr>
          <t xml:space="preserve">
There are Impairment Charges, but they appear to be recurring (3 of the past 3 years).</t>
        </r>
      </text>
    </comment>
    <comment ref="F51" authorId="0" shapeId="0" xr:uid="{7DF37ACF-CA43-490B-8701-028EE08AB40C}">
      <text>
        <r>
          <rPr>
            <b/>
            <sz val="9"/>
            <color indexed="81"/>
            <rFont val="Tahoma"/>
            <family val="2"/>
          </rPr>
          <t>BIWS:</t>
        </r>
        <r>
          <rPr>
            <sz val="9"/>
            <color indexed="81"/>
            <rFont val="Tahoma"/>
            <family val="2"/>
          </rPr>
          <t xml:space="preserve">
Both short-term and long-term Lease Liabilities, as shown on page 48 of 10-K.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0" authorId="0" shapeId="0" xr:uid="{15E72FCB-B467-45CA-83C8-954D87030DB9}">
      <text>
        <r>
          <rPr>
            <b/>
            <sz val="9"/>
            <color indexed="81"/>
            <rFont val="Tahoma"/>
            <family val="2"/>
          </rPr>
          <t>BIWS:</t>
        </r>
        <r>
          <rPr>
            <sz val="9"/>
            <color indexed="81"/>
            <rFont val="Tahoma"/>
            <family val="2"/>
          </rPr>
          <t xml:space="preserve">
Technically, we could use the company's estimate for the Market Value of the shares, but we're sticking to the Balance Sheet figure here since we only have that number for a portion of the Equity Investments.</t>
        </r>
      </text>
    </comment>
    <comment ref="F23" authorId="0" shapeId="0" xr:uid="{5E668249-1E14-4C87-A3D5-F4D15169CF07}">
      <text>
        <r>
          <rPr>
            <b/>
            <sz val="9"/>
            <color indexed="81"/>
            <rFont val="Tahoma"/>
            <family val="2"/>
          </rPr>
          <t>BIWS:</t>
        </r>
        <r>
          <rPr>
            <sz val="9"/>
            <color indexed="81"/>
            <rFont val="Tahoma"/>
            <family val="2"/>
          </rPr>
          <t xml:space="preserve">
Starting with the book values but adjusting for unamortized discounts and Fair Market Value for relevant portions.</t>
        </r>
      </text>
    </comment>
    <comment ref="F25" authorId="0" shapeId="0" xr:uid="{AFCE9336-79F9-472A-9189-509B4141FC4F}">
      <text>
        <r>
          <rPr>
            <b/>
            <sz val="9"/>
            <color indexed="81"/>
            <rFont val="Tahoma"/>
            <family val="2"/>
          </rPr>
          <t>BIWS:</t>
        </r>
        <r>
          <rPr>
            <sz val="9"/>
            <color indexed="81"/>
            <rFont val="Tahoma"/>
            <family val="2"/>
          </rPr>
          <t xml:space="preserve">
We count Operating Leases as Debt-like items under IFRS because of the Income Statement treatment: the lease expense is split into Interest and Depreciation components, so EBITDA is no longer a valid metric unless we add Operating Leases to Enterprise Value.</t>
        </r>
      </text>
    </comment>
    <comment ref="F27" authorId="0" shapeId="0" xr:uid="{F28D0444-B776-4C30-BC00-6A639BB22EBF}">
      <text>
        <r>
          <rPr>
            <b/>
            <sz val="9"/>
            <color indexed="81"/>
            <rFont val="Tahoma"/>
            <family val="2"/>
          </rPr>
          <t>BIWS:</t>
        </r>
        <r>
          <rPr>
            <sz val="9"/>
            <color indexed="81"/>
            <rFont val="Tahoma"/>
            <family val="2"/>
          </rPr>
          <t xml:space="preserve">
Not tax-adjusting because contributions into European plans are usually not tax-deductible.</t>
        </r>
      </text>
    </comment>
    <comment ref="M35" authorId="0" shapeId="0" xr:uid="{879F11AA-EE3C-4218-9E19-C99647C8C683}">
      <text>
        <r>
          <rPr>
            <b/>
            <sz val="9"/>
            <color indexed="81"/>
            <rFont val="Tahoma"/>
            <family val="2"/>
          </rPr>
          <t>BIWS:</t>
        </r>
        <r>
          <rPr>
            <sz val="9"/>
            <color indexed="81"/>
            <rFont val="Tahoma"/>
            <family val="2"/>
          </rPr>
          <t xml:space="preserve">
CFO from CFS and then subtract Interest Paid from CFF and Interest Element of Operating Lease expense (pg. 9).</t>
        </r>
      </text>
    </comment>
    <comment ref="F37" authorId="0" shapeId="0" xr:uid="{F079F4E4-0DB4-44DF-9A17-A64560BC4A2C}">
      <text>
        <r>
          <rPr>
            <b/>
            <sz val="9"/>
            <color indexed="81"/>
            <rFont val="Tahoma"/>
            <family val="2"/>
          </rPr>
          <t>BIWS:</t>
        </r>
        <r>
          <rPr>
            <sz val="9"/>
            <color indexed="81"/>
            <rFont val="Tahoma"/>
            <family val="2"/>
          </rPr>
          <t xml:space="preserve">
We do NOT want to use the "Income from Operations" figure because it adds back Amortization, Restructuring, etc. EBIT is the appropriate one here.</t>
        </r>
      </text>
    </comment>
    <comment ref="F38" authorId="0" shapeId="0" xr:uid="{965AC4E2-DB13-4C47-9AF1-56AF51BAE9C5}">
      <text>
        <r>
          <rPr>
            <b/>
            <sz val="9"/>
            <color indexed="81"/>
            <rFont val="Tahoma"/>
            <family val="2"/>
          </rPr>
          <t>BIWS:</t>
        </r>
        <r>
          <rPr>
            <sz val="9"/>
            <color indexed="81"/>
            <rFont val="Tahoma"/>
            <family val="2"/>
          </rPr>
          <t xml:space="preserve">
Not counting Restructuring because they have it in nearly every historical year; same for Impairments.</t>
        </r>
      </text>
    </comment>
    <comment ref="F40" authorId="0" shapeId="0" xr:uid="{52329C36-A74D-4DD0-A6B3-39111C058943}">
      <text>
        <r>
          <rPr>
            <b/>
            <sz val="9"/>
            <color indexed="81"/>
            <rFont val="Tahoma"/>
            <family val="2"/>
          </rPr>
          <t>BIWS:</t>
        </r>
        <r>
          <rPr>
            <sz val="9"/>
            <color indexed="81"/>
            <rFont val="Tahoma"/>
            <family val="2"/>
          </rPr>
          <t xml:space="preserve">
Should ONLY count D&amp;A on owned assets and intangibles and amortization on operating-leased assets (full breakout on pg. 10).</t>
        </r>
      </text>
    </comment>
    <comment ref="M40" authorId="0" shapeId="0" xr:uid="{9B99C56E-33D3-4AAC-A8E9-FEE2942F06B3}">
      <text>
        <r>
          <rPr>
            <b/>
            <sz val="9"/>
            <color indexed="81"/>
            <rFont val="Tahoma"/>
            <family val="2"/>
          </rPr>
          <t>BIWS:</t>
        </r>
        <r>
          <rPr>
            <sz val="9"/>
            <color indexed="81"/>
            <rFont val="Tahoma"/>
            <family val="2"/>
          </rPr>
          <t xml:space="preserve">
Need to subtract this so that UFCF deducts the *entire* Lease/Rental Expense.</t>
        </r>
      </text>
    </comment>
    <comment ref="F42" authorId="0" shapeId="0" xr:uid="{3E3E1A63-40ED-4334-842F-D0393268D4C5}">
      <text>
        <r>
          <rPr>
            <b/>
            <sz val="9"/>
            <color indexed="81"/>
            <rFont val="Tahoma"/>
            <family val="2"/>
          </rPr>
          <t>BIWS:</t>
        </r>
        <r>
          <rPr>
            <sz val="9"/>
            <color indexed="81"/>
            <rFont val="Tahoma"/>
            <family val="2"/>
          </rPr>
          <t xml:space="preserve">
This should be 0 under IFRS because the Rent/Lease Expense is split into Interest and Depreciation.</t>
        </r>
      </text>
    </comment>
    <comment ref="F43" authorId="0" shapeId="0" xr:uid="{F0CE7DB6-4A64-45FC-8C14-54D6C3D2D6E8}">
      <text>
        <r>
          <rPr>
            <b/>
            <sz val="9"/>
            <color indexed="81"/>
            <rFont val="Tahoma"/>
            <family val="2"/>
          </rPr>
          <t>BIWS:</t>
        </r>
        <r>
          <rPr>
            <sz val="9"/>
            <color indexed="81"/>
            <rFont val="Tahoma"/>
            <family val="2"/>
          </rPr>
          <t xml:space="preserve">
Has nothing here.</t>
        </r>
      </text>
    </comment>
    <comment ref="M43" authorId="0" shapeId="0" xr:uid="{13782164-4985-4D60-8BDF-E15B91160E65}">
      <text>
        <r>
          <rPr>
            <b/>
            <sz val="9"/>
            <color indexed="81"/>
            <rFont val="Tahoma"/>
            <family val="2"/>
          </rPr>
          <t>BIWS:</t>
        </r>
        <r>
          <rPr>
            <sz val="9"/>
            <color indexed="81"/>
            <rFont val="Tahoma"/>
            <family val="2"/>
          </rPr>
          <t xml:space="preserve">
Taking the Book Income Tax figure and subtracting the Cash Taxes Paid. Not quite correct because the Pre-Tax Income will be lower without Interest, but "good enough" for now.</t>
        </r>
      </text>
    </comment>
    <comment ref="M44" authorId="0" shapeId="0" xr:uid="{D31EC513-1B95-4B48-81B2-2D08DF22A711}">
      <text>
        <r>
          <rPr>
            <b/>
            <sz val="9"/>
            <color indexed="81"/>
            <rFont val="Tahoma"/>
            <family val="2"/>
          </rPr>
          <t>BIWS:</t>
        </r>
        <r>
          <rPr>
            <sz val="9"/>
            <color indexed="81"/>
            <rFont val="Tahoma"/>
            <family val="2"/>
          </rPr>
          <t xml:space="preserve">
Content Investments + Change in WC + Change in Provisions.</t>
        </r>
      </text>
    </comment>
    <comment ref="F46" authorId="0" shapeId="0" xr:uid="{2B27AE9D-ECAF-4374-A6B6-A3BED599739F}">
      <text>
        <r>
          <rPr>
            <b/>
            <sz val="9"/>
            <color indexed="81"/>
            <rFont val="Tahoma"/>
            <family val="2"/>
          </rPr>
          <t>BIWS:</t>
        </r>
        <r>
          <rPr>
            <sz val="9"/>
            <color indexed="81"/>
            <rFont val="Tahoma"/>
            <family val="2"/>
          </rPr>
          <t xml:space="preserve">
Strange numbers because of how the company records a Tax Benefit on the 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11" authorId="0" shapeId="0" xr:uid="{6297A75F-ACFF-4F98-9E10-7D6E56045990}">
      <text>
        <r>
          <rPr>
            <b/>
            <sz val="9"/>
            <color indexed="81"/>
            <rFont val="Tahoma"/>
            <family val="2"/>
          </rPr>
          <t>BIWS:</t>
        </r>
        <r>
          <rPr>
            <sz val="9"/>
            <color indexed="81"/>
            <rFont val="Tahoma"/>
            <family val="2"/>
          </rPr>
          <t xml:space="preserve">
Using Options Exercisable, not Options Outstanding.</t>
        </r>
      </text>
    </comment>
    <comment ref="F13" authorId="0" shapeId="0" xr:uid="{DB0AF06E-0986-4702-A85A-7A166A05AB3A}">
      <text>
        <r>
          <rPr>
            <b/>
            <sz val="9"/>
            <color indexed="81"/>
            <rFont val="Tahoma"/>
            <family val="2"/>
          </rPr>
          <t>BIWS:</t>
        </r>
        <r>
          <rPr>
            <sz val="9"/>
            <color indexed="81"/>
            <rFont val="Tahoma"/>
            <family val="2"/>
          </rPr>
          <t xml:space="preserve">
Slightly higher than federal statutory rate - strange effective rate due to NOLs.</t>
        </r>
      </text>
    </comment>
    <comment ref="F22" authorId="0" shapeId="0" xr:uid="{552381B2-C774-4FE7-A5CA-3C4C445E74AE}">
      <text>
        <r>
          <rPr>
            <b/>
            <sz val="9"/>
            <color indexed="81"/>
            <rFont val="Tahoma"/>
            <family val="2"/>
          </rPr>
          <t>BIWS:</t>
        </r>
        <r>
          <rPr>
            <sz val="9"/>
            <color indexed="81"/>
            <rFont val="Tahoma"/>
            <family val="2"/>
          </rPr>
          <t xml:space="preserve">
Should be adjusted based on the Valuation Allowance… we will return to this later.</t>
        </r>
      </text>
    </comment>
    <comment ref="F23" authorId="0" shapeId="0" xr:uid="{85288B93-7932-4691-BA0D-4A5EDEE83A6A}">
      <text>
        <r>
          <rPr>
            <b/>
            <sz val="9"/>
            <color indexed="81"/>
            <rFont val="Tahoma"/>
            <family val="2"/>
          </rPr>
          <t>BIWS:</t>
        </r>
        <r>
          <rPr>
            <sz val="9"/>
            <color indexed="81"/>
            <rFont val="Tahoma"/>
            <family val="2"/>
          </rPr>
          <t xml:space="preserve">
If the convertibles convert into shares, do not count them as Debt; otherwise, use the Fair Market Value of the Convertibles.</t>
        </r>
      </text>
    </comment>
    <comment ref="F25" authorId="0" shapeId="0" xr:uid="{6617AF36-1515-4233-B6B8-9653F12877C4}">
      <text>
        <r>
          <rPr>
            <b/>
            <sz val="9"/>
            <color indexed="81"/>
            <rFont val="Tahoma"/>
            <family val="2"/>
          </rPr>
          <t xml:space="preserve">BIWS:
</t>
        </r>
        <r>
          <rPr>
            <sz val="9"/>
            <color indexed="81"/>
            <rFont val="Tahoma"/>
            <family val="2"/>
          </rPr>
          <t>Not counting Operating Leases here so that metrics such as EBIT and EBITDA continue to be valid.</t>
        </r>
      </text>
    </comment>
    <comment ref="M48" authorId="0" shapeId="0" xr:uid="{E89CED5A-527D-4967-BF54-CC510C083FDB}">
      <text>
        <r>
          <rPr>
            <b/>
            <sz val="9"/>
            <color indexed="81"/>
            <rFont val="Tahoma"/>
            <family val="2"/>
          </rPr>
          <t>BIWS:</t>
        </r>
        <r>
          <rPr>
            <sz val="9"/>
            <color indexed="81"/>
            <rFont val="Tahoma"/>
            <family val="2"/>
          </rPr>
          <t xml:space="preserve">
Also counting capitalized software costs here since they appear to be recurring.</t>
        </r>
      </text>
    </comment>
    <comment ref="F50" authorId="0" shapeId="0" xr:uid="{6F4EAF6C-4EA7-416E-B52F-3B97EBE515EF}">
      <text>
        <r>
          <rPr>
            <b/>
            <sz val="9"/>
            <color indexed="81"/>
            <rFont val="Tahoma"/>
            <family val="2"/>
          </rPr>
          <t>BIWS:</t>
        </r>
        <r>
          <rPr>
            <sz val="9"/>
            <color indexed="81"/>
            <rFont val="Tahoma"/>
            <family val="2"/>
          </rPr>
          <t xml:space="preserve">
Merger expense (pg. 51 of 10-K).</t>
        </r>
      </text>
    </comment>
    <comment ref="F65" authorId="0" shapeId="0" xr:uid="{8BDB0AB0-6D2B-47EE-A1BF-802CBF391C32}">
      <text>
        <r>
          <rPr>
            <b/>
            <sz val="9"/>
            <color indexed="81"/>
            <rFont val="Tahoma"/>
            <family val="2"/>
          </rPr>
          <t>BIWS:</t>
        </r>
        <r>
          <rPr>
            <sz val="9"/>
            <color indexed="81"/>
            <rFont val="Tahoma"/>
            <family val="2"/>
          </rPr>
          <t xml:space="preserve">
Current and non-current portions, as shown on pg. 83.</t>
        </r>
      </text>
    </comment>
  </commentList>
</comments>
</file>

<file path=xl/sharedStrings.xml><?xml version="1.0" encoding="utf-8"?>
<sst xmlns="http://schemas.openxmlformats.org/spreadsheetml/2006/main" count="409" uniqueCount="142">
  <si>
    <t>Current Share Price:</t>
  </si>
  <si>
    <t>Valuation Date:</t>
  </si>
  <si>
    <t>Exercise</t>
  </si>
  <si>
    <t>Number</t>
  </si>
  <si>
    <t>(Millions):</t>
  </si>
  <si>
    <t>Total:</t>
  </si>
  <si>
    <t>Diluted Shares Outstanding (Millions):</t>
  </si>
  <si>
    <t>Diluted Equity Value:</t>
  </si>
  <si>
    <t>Basic Shares Outstanding (Millions):</t>
  </si>
  <si>
    <t>Price:</t>
  </si>
  <si>
    <t>Dilution:</t>
  </si>
  <si>
    <t>Name:</t>
  </si>
  <si>
    <t>Performance Shares:</t>
  </si>
  <si>
    <t>Diluted Shares Calculations:</t>
  </si>
  <si>
    <t>Options - Treasury Stock Method:</t>
  </si>
  <si>
    <t>Basic Equity Value:</t>
  </si>
  <si>
    <t>Company Name:</t>
  </si>
  <si>
    <t>Vivendi SA</t>
  </si>
  <si>
    <t>Ticker:</t>
  </si>
  <si>
    <t>ENXTPA:VIV</t>
  </si>
  <si>
    <t>Under €15</t>
  </si>
  <si>
    <t>€15 to €16</t>
  </si>
  <si>
    <t>€16 to €17</t>
  </si>
  <si>
    <t>€17 to €18</t>
  </si>
  <si>
    <t>More than €18</t>
  </si>
  <si>
    <t>(€ in Millions Except Per Share Data)</t>
  </si>
  <si>
    <t>Target Corporation</t>
  </si>
  <si>
    <t>NYSE:TGT</t>
  </si>
  <si>
    <t>($ in Millions Except Per Share Data)</t>
  </si>
  <si>
    <t>Restricted Stock Units (RSUs):</t>
  </si>
  <si>
    <t>Performance Share Units:</t>
  </si>
  <si>
    <t>Tranche A:</t>
  </si>
  <si>
    <t>Restricted Stock Units (RSUs) and Other Sources:</t>
  </si>
  <si>
    <t>Zendesk Inc</t>
  </si>
  <si>
    <t>NYSE:ZEN</t>
  </si>
  <si>
    <t>Convertible Bonds and Hedged Convertibles:</t>
  </si>
  <si>
    <t>Potential Dilutive Shares (# Millions):</t>
  </si>
  <si>
    <t>Actual Dilutive Shares:</t>
  </si>
  <si>
    <t>Capped Calls - # Call Options Purchased:</t>
  </si>
  <si>
    <t>Capped Calls - Exercise Price of Call Options:</t>
  </si>
  <si>
    <t>Net Dilution from Convertible Bonds and Hedges:</t>
  </si>
  <si>
    <t>Capped Calls - Sold Warrants:</t>
  </si>
  <si>
    <t>Conversion Price ($ as Stated):</t>
  </si>
  <si>
    <t>Convertible Bond Principal Amount ($ in Millions):</t>
  </si>
  <si>
    <t>(-) Cash &amp; Cash-Equivalents:</t>
  </si>
  <si>
    <t>(-) Financial Investments:</t>
  </si>
  <si>
    <t>(-) Equity Investments:</t>
  </si>
  <si>
    <t>(-) Other Non-Core Assets:</t>
  </si>
  <si>
    <t>(-) Net Operating Losses:</t>
  </si>
  <si>
    <t>(+) Total Debt:</t>
  </si>
  <si>
    <t>(+) Preferred Stock:</t>
  </si>
  <si>
    <t>(+) Noncontrolling Interests:</t>
  </si>
  <si>
    <t>(+) Unfunded Pensions:</t>
  </si>
  <si>
    <t>(+) Capital Leases:</t>
  </si>
  <si>
    <t>Enterprise Value (TEV):</t>
  </si>
  <si>
    <t>(+) Operating Leases:</t>
  </si>
  <si>
    <t>Effective Tax Rate:</t>
  </si>
  <si>
    <t>Operating Income from Income Statement:</t>
  </si>
  <si>
    <t>(+) Non-Recurring Charges:</t>
  </si>
  <si>
    <t>Earnings Before Interest &amp; Taxes (EBIT):</t>
  </si>
  <si>
    <t>(+) D&amp;A from Cash Flow Statement:</t>
  </si>
  <si>
    <t>EBITDA:</t>
  </si>
  <si>
    <t>Revenue:</t>
  </si>
  <si>
    <t>EBITDAR:</t>
  </si>
  <si>
    <t>(+) Rental Expense on Income Statement:</t>
  </si>
  <si>
    <t>Net Operating Profit After Taxes (NOPAT):</t>
  </si>
  <si>
    <t>Reported Net Income:</t>
  </si>
  <si>
    <t>(-) Sublease Income:</t>
  </si>
  <si>
    <t>Valuation Metric Calculations:</t>
  </si>
  <si>
    <t>Cash Flow from Operations:</t>
  </si>
  <si>
    <t>(-) Capital Expenditures:</t>
  </si>
  <si>
    <t>Free Cash Flow (FCF):</t>
  </si>
  <si>
    <t>Cash Flow Metric Calculations:</t>
  </si>
  <si>
    <t>(-) Operating Lease Interest Element:</t>
  </si>
  <si>
    <t>(+/-) Deferred Income Taxes:</t>
  </si>
  <si>
    <t>(+/-) Change in Working Capital:</t>
  </si>
  <si>
    <t>Unlevered Free Cash Flow (UFCF):</t>
  </si>
  <si>
    <t>Net Income (to Common):</t>
  </si>
  <si>
    <t>(-) Repayments of Debt Principal:</t>
  </si>
  <si>
    <t>(+) New Debt Issuances:</t>
  </si>
  <si>
    <t>Levered Free Cash Flow (LFCF):</t>
  </si>
  <si>
    <t>Valuation Multiple Calculations:</t>
  </si>
  <si>
    <t>Enterprise Value Excluding Op. Leases:</t>
  </si>
  <si>
    <t>Enterprise Value Including Op. Leases:</t>
  </si>
  <si>
    <t>Equity Value:</t>
  </si>
  <si>
    <t>(+) Operating Lease Liabilities:</t>
  </si>
  <si>
    <t>N/A</t>
  </si>
  <si>
    <t>N/M</t>
  </si>
  <si>
    <t>Equity</t>
  </si>
  <si>
    <t>Enterprise</t>
  </si>
  <si>
    <t>Value</t>
  </si>
  <si>
    <t>Company</t>
  </si>
  <si>
    <t>Name</t>
  </si>
  <si>
    <t>Revenue</t>
  </si>
  <si>
    <t>Forward</t>
  </si>
  <si>
    <t>EBITDA</t>
  </si>
  <si>
    <t>Projected</t>
  </si>
  <si>
    <t>Growth</t>
  </si>
  <si>
    <t>TEV / Revenue</t>
  </si>
  <si>
    <t>TEV / EBITDA</t>
  </si>
  <si>
    <t>Dollar General Corporation</t>
  </si>
  <si>
    <t>Comparable Companies for Target, Vivendi, and Zendesk</t>
  </si>
  <si>
    <t>Target - Comparable Companies (U.S.-Based Retailers with Over $10 Billion in Historical Revenue):</t>
  </si>
  <si>
    <t>Costco Wholesale Corporation</t>
  </si>
  <si>
    <t>Walmart Inc.</t>
  </si>
  <si>
    <t>Dollar Tree, Inc.</t>
  </si>
  <si>
    <t>Historical</t>
  </si>
  <si>
    <t>Median</t>
  </si>
  <si>
    <t>Target</t>
  </si>
  <si>
    <t>Zendesk</t>
  </si>
  <si>
    <t>Zendesk - Comparable Companies (U.S.-Based Online Collaboration and Communication Software Companies with Between $500 Million and $1 Billion in Historical Revenue):</t>
  </si>
  <si>
    <t>DocuSign, Inc.</t>
  </si>
  <si>
    <t>Zoom Video Communications, Inc.</t>
  </si>
  <si>
    <t>Paycom Software, Inc.</t>
  </si>
  <si>
    <t>Slack Technologies, Inc.</t>
  </si>
  <si>
    <t>New Relic, Inc.</t>
  </si>
  <si>
    <t>Box, Inc.</t>
  </si>
  <si>
    <t>Ceridian HCM Holding Inc.</t>
  </si>
  <si>
    <t>HubSpot, Inc.</t>
  </si>
  <si>
    <t>Orange SA</t>
  </si>
  <si>
    <t>Iliad SA</t>
  </si>
  <si>
    <t>Kering SA</t>
  </si>
  <si>
    <t>Bouygues SA</t>
  </si>
  <si>
    <t>Lagardère SCA</t>
  </si>
  <si>
    <t>Vivendi</t>
  </si>
  <si>
    <t>Vivendi - Comparable Companies (French Telecom and Media Companies with Over €5 Billion in Historical Revenue):</t>
  </si>
  <si>
    <t>full analysis, but this is the 30-second version.</t>
  </si>
  <si>
    <r>
      <t>QUICK CONCLUSIONS:</t>
    </r>
    <r>
      <rPr>
        <sz val="12"/>
        <color theme="1"/>
        <rFont val="Calibri"/>
        <family val="2"/>
        <scheme val="minor"/>
      </rPr>
      <t xml:space="preserve"> Target looks "appropriately valued" - it's growing at lower rates than its peer companies, and its revenue and EBITDA multiples are also lower by about the same proportions. Might reach a different conclusion with a</t>
    </r>
  </si>
  <si>
    <r>
      <t>QUICK CONCLUSIONS:</t>
    </r>
    <r>
      <rPr>
        <sz val="12"/>
        <color theme="1"/>
        <rFont val="Calibri"/>
        <family val="2"/>
        <scheme val="minor"/>
      </rPr>
      <t xml:space="preserve"> Only TEV / Revenue is meaningful here. Zendesk looks significantly undervalued because its Revenue Growth is *higher* than those of its peer companies, but its Revenue multiples are both significantly lower.</t>
    </r>
  </si>
  <si>
    <r>
      <t>QUICK CONCLUSIONS:</t>
    </r>
    <r>
      <rPr>
        <sz val="12"/>
        <color theme="1"/>
        <rFont val="Calibri"/>
        <family val="2"/>
        <scheme val="minor"/>
      </rPr>
      <t xml:space="preserve"> Vivendi looks undervalued here because it is growing at faster rates than those of its peer companies, but its Revenue multiples are the same, and only its Forward EBITDA Multiple is higher - this one is worth </t>
    </r>
  </si>
  <si>
    <t>investigating in a fuller analysis since the picture is a bit mixed. Also complicated since Vivendi is a huge conglomerate, so we'd need to look at each segment separately.</t>
  </si>
  <si>
    <t>TEV / Revenue Multiple:</t>
  </si>
  <si>
    <t>TEV / EBIT Multiple:</t>
  </si>
  <si>
    <t>TEV / EBITDA Multiple:</t>
  </si>
  <si>
    <t>TEV Incl. Op. Leases / EBITDAR Multiple:</t>
  </si>
  <si>
    <t>Eq Val / Net Income Multiple (P / E):</t>
  </si>
  <si>
    <t>Eq Val / FCF Multiple:</t>
  </si>
  <si>
    <t>Eq Val / LFCF Multiple:</t>
  </si>
  <si>
    <t>TEV / UFCF Multiple:</t>
  </si>
  <si>
    <t>TEV Incl. Op. Leases / Revenue Multiple:</t>
  </si>
  <si>
    <t>TEV Incl. Op. Leases / EBIT Multiple:</t>
  </si>
  <si>
    <t>TEV Incl. Op. Leases / EBITDA Multiple: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</si>
</sst>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40C]_-;\-* #,##0.00\ [$€-40C]_-;_-* &quot;-&quot;??\ [$€-40C]_-;_-@_-"/>
    <numFmt numFmtId="165" formatCode="yyyy\-mm\-dd"/>
    <numFmt numFmtId="166" formatCode="_(* #,##0.000_);_(* \(#,##0.000\);_(* &quot;-&quot;???_);_(@_)"/>
    <numFmt numFmtId="167" formatCode="_([$€-2]\ * #,##0.00_);_([$€-2]\ * \(#,##0.00\);_([$€-2]\ * &quot;-&quot;??_);_(@_)"/>
    <numFmt numFmtId="168" formatCode="_([$€-2]\ * #,##0_);_([$€-2]\ * \(#,##0\);_([$€-2]\ * &quot;-&quot;_);_(@_)"/>
    <numFmt numFmtId="169" formatCode="_(* #,##0.0_);_(* \(#,##0.0\);_(* &quot;-&quot;_);_(@_)"/>
    <numFmt numFmtId="170" formatCode="_(&quot;$&quot;* #,##0.0_);_(&quot;$&quot;* \(#,##0.0\);_(&quot;$&quot;* &quot;-&quot;?_);_(@_)"/>
    <numFmt numFmtId="171" formatCode="0.0%"/>
    <numFmt numFmtId="172" formatCode="_(0.0\ \x_);\(0.0\ \x\);_(&quot;–&quot;_);_(@_)"/>
    <numFmt numFmtId="173" formatCode="0.0\ %_);[Red]\(0.0%\)"/>
    <numFmt numFmtId="174" formatCode="0.0\ \x"/>
    <numFmt numFmtId="175" formatCode="0.0"/>
  </numFmts>
  <fonts count="22"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9"/>
      <color indexed="81"/>
      <name val="Tahoma"/>
      <family val="2"/>
    </font>
    <font>
      <b/>
      <sz val="9"/>
      <color indexed="81"/>
      <name val="Tahoma"/>
      <family val="2"/>
    </font>
    <font>
      <b/>
      <sz val="12"/>
      <color theme="1"/>
      <name val="Calibri"/>
      <family val="2"/>
      <scheme val="minor"/>
    </font>
    <font>
      <sz val="12"/>
      <color rgb="FF0000FF"/>
      <name val="Calibri"/>
      <family val="2"/>
      <scheme val="minor"/>
    </font>
    <font>
      <sz val="12"/>
      <name val="Calibri"/>
      <family val="2"/>
      <scheme val="minor"/>
    </font>
    <font>
      <b/>
      <sz val="12"/>
      <name val="Calibri"/>
      <family val="2"/>
      <scheme val="minor"/>
    </font>
    <font>
      <b/>
      <sz val="14"/>
      <color theme="1"/>
      <name val="Calibri"/>
      <family val="2"/>
      <scheme val="minor"/>
    </font>
    <font>
      <b/>
      <sz val="12"/>
      <color rgb="FF0000FF"/>
      <name val="Calibri"/>
      <family val="2"/>
      <scheme val="minor"/>
    </font>
    <font>
      <b/>
      <sz val="12"/>
      <color theme="0"/>
      <name val="Calibri"/>
      <family val="2"/>
      <scheme val="minor"/>
    </font>
    <font>
      <sz val="10"/>
      <name val="Arial"/>
      <family val="2"/>
    </font>
    <font>
      <b/>
      <sz val="12"/>
      <color indexed="9"/>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FFFFCC"/>
      </patternFill>
    </fill>
    <fill>
      <patternFill patternType="solid">
        <fgColor theme="0" tint="-0.14999847407452621"/>
        <bgColor indexed="64"/>
      </patternFill>
    </fill>
    <fill>
      <patternFill patternType="solid">
        <fgColor theme="3"/>
        <bgColor indexed="64"/>
      </patternFill>
    </fill>
    <fill>
      <patternFill patternType="solid">
        <fgColor theme="3" tint="0.59996337778862885"/>
        <bgColor indexed="64"/>
      </patternFill>
    </fill>
    <fill>
      <patternFill patternType="solid">
        <fgColor rgb="FF0070C0"/>
        <bgColor indexed="64"/>
      </patternFill>
    </fill>
  </fills>
  <borders count="12">
    <border>
      <left/>
      <right/>
      <top/>
      <bottom/>
      <diagonal/>
    </border>
    <border>
      <left/>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bottom style="thin">
        <color rgb="FFB2B2B2"/>
      </bottom>
      <diagonal/>
    </border>
    <border>
      <left style="thin">
        <color rgb="FFB2B2B2"/>
      </left>
      <right style="thin">
        <color rgb="FFB2B2B2"/>
      </right>
      <top style="thin">
        <color rgb="FFB2B2B2"/>
      </top>
      <bottom style="thin">
        <color auto="1"/>
      </bottom>
      <diagonal/>
    </border>
    <border>
      <left style="thin">
        <color rgb="FFB2B2B2"/>
      </left>
      <right style="thin">
        <color rgb="FFB2B2B2"/>
      </right>
      <top/>
      <bottom/>
      <diagonal/>
    </border>
    <border>
      <left style="thin">
        <color rgb="FFB2B2B2"/>
      </left>
      <right style="thin">
        <color rgb="FFB2B2B2"/>
      </right>
      <top style="thin">
        <color rgb="FFB2B2B2"/>
      </top>
      <bottom/>
      <diagonal/>
    </border>
    <border>
      <left/>
      <right style="thin">
        <color rgb="FFB2B2B2"/>
      </right>
      <top/>
      <bottom style="thin">
        <color auto="1"/>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s>
  <cellStyleXfs count="3">
    <xf numFmtId="0" fontId="0" fillId="0" borderId="0"/>
    <xf numFmtId="0" fontId="10" fillId="3" borderId="3" applyNumberFormat="0" applyFont="0" applyAlignment="0" applyProtection="0"/>
    <xf numFmtId="0" fontId="20" fillId="0" borderId="0"/>
  </cellStyleXfs>
  <cellXfs count="97">
    <xf numFmtId="0" fontId="0" fillId="0" borderId="0" xfId="0"/>
    <xf numFmtId="0" fontId="13" fillId="0" borderId="0" xfId="0" applyFont="1"/>
    <xf numFmtId="0" fontId="9" fillId="0" borderId="0" xfId="0" applyFont="1"/>
    <xf numFmtId="0" fontId="13" fillId="0" borderId="0" xfId="0" applyFont="1" applyBorder="1"/>
    <xf numFmtId="0" fontId="9" fillId="0" borderId="0" xfId="0" applyFont="1" applyBorder="1"/>
    <xf numFmtId="0" fontId="14" fillId="2" borderId="3" xfId="1" applyFont="1" applyFill="1" applyBorder="1" applyAlignment="1">
      <alignment horizontal="centerContinuous"/>
    </xf>
    <xf numFmtId="165" fontId="14" fillId="2" borderId="3" xfId="0" applyNumberFormat="1" applyFont="1" applyFill="1" applyBorder="1"/>
    <xf numFmtId="167" fontId="14" fillId="2" borderId="3" xfId="0" applyNumberFormat="1" applyFont="1" applyFill="1" applyBorder="1"/>
    <xf numFmtId="0" fontId="9" fillId="0" borderId="0" xfId="0" applyFont="1" applyBorder="1" applyAlignment="1">
      <alignment horizontal="center"/>
    </xf>
    <xf numFmtId="0" fontId="9" fillId="0" borderId="0" xfId="0" applyFont="1" applyAlignment="1">
      <alignment horizontal="left" indent="1"/>
    </xf>
    <xf numFmtId="166" fontId="14" fillId="0" borderId="2" xfId="0" applyNumberFormat="1" applyFont="1" applyFill="1" applyBorder="1"/>
    <xf numFmtId="166" fontId="9" fillId="0" borderId="0" xfId="0" applyNumberFormat="1" applyFont="1"/>
    <xf numFmtId="166" fontId="14" fillId="0" borderId="0" xfId="0" applyNumberFormat="1" applyFont="1" applyFill="1" applyBorder="1"/>
    <xf numFmtId="164" fontId="14" fillId="0" borderId="0" xfId="0" applyNumberFormat="1" applyFont="1" applyFill="1" applyBorder="1"/>
    <xf numFmtId="168" fontId="16" fillId="0" borderId="0" xfId="0" applyNumberFormat="1" applyFont="1" applyFill="1" applyBorder="1"/>
    <xf numFmtId="0" fontId="13" fillId="0" borderId="2" xfId="0" applyFont="1" applyBorder="1"/>
    <xf numFmtId="0" fontId="9" fillId="0" borderId="2" xfId="0" applyFont="1" applyBorder="1"/>
    <xf numFmtId="166" fontId="13" fillId="0" borderId="2" xfId="0" applyNumberFormat="1" applyFont="1" applyBorder="1"/>
    <xf numFmtId="44" fontId="14" fillId="0" borderId="0" xfId="0" applyNumberFormat="1" applyFont="1" applyFill="1" applyBorder="1"/>
    <xf numFmtId="166" fontId="13" fillId="0" borderId="0" xfId="0" applyNumberFormat="1" applyFont="1" applyBorder="1"/>
    <xf numFmtId="0" fontId="17" fillId="0" borderId="0" xfId="0" applyFont="1"/>
    <xf numFmtId="0" fontId="13" fillId="4" borderId="1" xfId="0" applyFont="1" applyFill="1" applyBorder="1"/>
    <xf numFmtId="0" fontId="9" fillId="4" borderId="1" xfId="0" applyFont="1" applyFill="1" applyBorder="1"/>
    <xf numFmtId="0" fontId="9" fillId="4" borderId="0" xfId="0" applyFont="1" applyFill="1"/>
    <xf numFmtId="0" fontId="13" fillId="4" borderId="0" xfId="0" applyFont="1" applyFill="1" applyBorder="1" applyAlignment="1">
      <alignment horizontal="center"/>
    </xf>
    <xf numFmtId="0" fontId="13" fillId="4" borderId="1" xfId="0" applyFont="1" applyFill="1" applyBorder="1" applyAlignment="1">
      <alignment horizontal="center"/>
    </xf>
    <xf numFmtId="169" fontId="14" fillId="2" borderId="4" xfId="0" applyNumberFormat="1" applyFont="1" applyFill="1" applyBorder="1"/>
    <xf numFmtId="169" fontId="15" fillId="2" borderId="4" xfId="0" applyNumberFormat="1" applyFont="1" applyFill="1" applyBorder="1"/>
    <xf numFmtId="43" fontId="14" fillId="0" borderId="0" xfId="0" applyNumberFormat="1" applyFont="1" applyFill="1" applyBorder="1"/>
    <xf numFmtId="44" fontId="14" fillId="2" borderId="3" xfId="0" applyNumberFormat="1" applyFont="1" applyFill="1" applyBorder="1"/>
    <xf numFmtId="42" fontId="16" fillId="0" borderId="0" xfId="0" applyNumberFormat="1" applyFont="1" applyFill="1" applyBorder="1"/>
    <xf numFmtId="44" fontId="14" fillId="0" borderId="2" xfId="0" applyNumberFormat="1" applyFont="1" applyFill="1" applyBorder="1"/>
    <xf numFmtId="0" fontId="8" fillId="0" borderId="0" xfId="0" applyFont="1" applyAlignment="1">
      <alignment horizontal="left" indent="1"/>
    </xf>
    <xf numFmtId="166" fontId="15" fillId="0" borderId="0" xfId="0" applyNumberFormat="1" applyFont="1"/>
    <xf numFmtId="0" fontId="7" fillId="0" borderId="0" xfId="0" applyFont="1"/>
    <xf numFmtId="170" fontId="14" fillId="2" borderId="3" xfId="0" applyNumberFormat="1" applyFont="1" applyFill="1" applyBorder="1"/>
    <xf numFmtId="44" fontId="9" fillId="0" borderId="0" xfId="0" applyNumberFormat="1" applyFont="1"/>
    <xf numFmtId="0" fontId="7" fillId="0" borderId="0" xfId="0" applyFont="1" applyAlignment="1">
      <alignment horizontal="left" indent="1"/>
    </xf>
    <xf numFmtId="166" fontId="13" fillId="0" borderId="0" xfId="0" applyNumberFormat="1" applyFont="1"/>
    <xf numFmtId="0" fontId="6" fillId="0" borderId="0" xfId="0" applyFont="1" applyAlignment="1">
      <alignment horizontal="left" indent="1"/>
    </xf>
    <xf numFmtId="0" fontId="6" fillId="0" borderId="1" xfId="0" applyFont="1" applyBorder="1" applyAlignment="1">
      <alignment horizontal="left" indent="1"/>
    </xf>
    <xf numFmtId="0" fontId="9" fillId="0" borderId="1" xfId="0" applyFont="1" applyBorder="1"/>
    <xf numFmtId="41" fontId="14" fillId="2" borderId="3" xfId="0" applyNumberFormat="1" applyFont="1" applyFill="1" applyBorder="1"/>
    <xf numFmtId="41" fontId="14" fillId="2" borderId="5" xfId="0" applyNumberFormat="1" applyFont="1" applyFill="1" applyBorder="1"/>
    <xf numFmtId="168" fontId="13" fillId="0" borderId="0" xfId="0" applyNumberFormat="1" applyFont="1"/>
    <xf numFmtId="41" fontId="15" fillId="2" borderId="3" xfId="0" applyNumberFormat="1" applyFont="1" applyFill="1" applyBorder="1"/>
    <xf numFmtId="0" fontId="6" fillId="0" borderId="0" xfId="0" applyFont="1"/>
    <xf numFmtId="165" fontId="14" fillId="2" borderId="3" xfId="0" applyNumberFormat="1" applyFont="1" applyFill="1" applyBorder="1" applyAlignment="1">
      <alignment horizontal="center"/>
    </xf>
    <xf numFmtId="169" fontId="15" fillId="2" borderId="6" xfId="0" applyNumberFormat="1" applyFont="1" applyFill="1" applyBorder="1"/>
    <xf numFmtId="171" fontId="14" fillId="2" borderId="3" xfId="0" applyNumberFormat="1" applyFont="1" applyFill="1" applyBorder="1" applyAlignment="1">
      <alignment horizontal="center"/>
    </xf>
    <xf numFmtId="167" fontId="14" fillId="0" borderId="2" xfId="0" applyNumberFormat="1" applyFont="1" applyFill="1" applyBorder="1"/>
    <xf numFmtId="167" fontId="14" fillId="0" borderId="0" xfId="0" applyNumberFormat="1" applyFont="1" applyFill="1" applyBorder="1"/>
    <xf numFmtId="0" fontId="5" fillId="0" borderId="0" xfId="0" applyFont="1"/>
    <xf numFmtId="0" fontId="5" fillId="0" borderId="0" xfId="0" applyFont="1" applyAlignment="1">
      <alignment horizontal="left" indent="1"/>
    </xf>
    <xf numFmtId="41" fontId="13" fillId="0" borderId="2" xfId="0" applyNumberFormat="1" applyFont="1" applyBorder="1"/>
    <xf numFmtId="41" fontId="14" fillId="2" borderId="7" xfId="0" applyNumberFormat="1" applyFont="1" applyFill="1" applyBorder="1"/>
    <xf numFmtId="42" fontId="18" fillId="2" borderId="3" xfId="0" applyNumberFormat="1" applyFont="1" applyFill="1" applyBorder="1"/>
    <xf numFmtId="41" fontId="13" fillId="0" borderId="0" xfId="0" applyNumberFormat="1" applyFont="1" applyBorder="1"/>
    <xf numFmtId="0" fontId="9" fillId="0" borderId="0" xfId="0" applyFont="1" applyFill="1" applyBorder="1"/>
    <xf numFmtId="168" fontId="18" fillId="2" borderId="3" xfId="0" applyNumberFormat="1" applyFont="1" applyFill="1" applyBorder="1"/>
    <xf numFmtId="41" fontId="15" fillId="2" borderId="7" xfId="0" applyNumberFormat="1" applyFont="1" applyFill="1" applyBorder="1"/>
    <xf numFmtId="41" fontId="9" fillId="0" borderId="0" xfId="0" applyNumberFormat="1" applyFont="1"/>
    <xf numFmtId="42" fontId="14" fillId="2" borderId="3" xfId="0" applyNumberFormat="1" applyFont="1" applyFill="1" applyBorder="1"/>
    <xf numFmtId="42" fontId="13" fillId="0" borderId="2" xfId="0" applyNumberFormat="1" applyFont="1" applyBorder="1"/>
    <xf numFmtId="42" fontId="13" fillId="0" borderId="0" xfId="0" applyNumberFormat="1" applyFont="1" applyBorder="1"/>
    <xf numFmtId="168" fontId="15" fillId="2" borderId="3" xfId="0" applyNumberFormat="1" applyFont="1" applyFill="1" applyBorder="1"/>
    <xf numFmtId="168" fontId="13" fillId="0" borderId="0" xfId="0" applyNumberFormat="1" applyFont="1" applyBorder="1"/>
    <xf numFmtId="41" fontId="15" fillId="2" borderId="5" xfId="0" applyNumberFormat="1" applyFont="1" applyFill="1" applyBorder="1"/>
    <xf numFmtId="0" fontId="9" fillId="0" borderId="8" xfId="0" applyFont="1" applyBorder="1"/>
    <xf numFmtId="0" fontId="4" fillId="0" borderId="0" xfId="0" applyFont="1" applyAlignment="1">
      <alignment horizontal="left" indent="1"/>
    </xf>
    <xf numFmtId="41" fontId="13" fillId="0" borderId="0" xfId="0" applyNumberFormat="1" applyFont="1"/>
    <xf numFmtId="42" fontId="13" fillId="0" borderId="0" xfId="0" applyNumberFormat="1" applyFont="1"/>
    <xf numFmtId="172" fontId="9" fillId="0" borderId="0" xfId="0" applyNumberFormat="1" applyFont="1"/>
    <xf numFmtId="172" fontId="4" fillId="0" borderId="0" xfId="0" applyNumberFormat="1" applyFont="1"/>
    <xf numFmtId="0" fontId="3" fillId="0" borderId="0" xfId="0" applyFont="1"/>
    <xf numFmtId="0" fontId="21" fillId="5" borderId="0" xfId="2" applyFont="1" applyFill="1" applyAlignment="1">
      <alignment horizontal="center"/>
    </xf>
    <xf numFmtId="0" fontId="21" fillId="5" borderId="1" xfId="2" applyFont="1" applyFill="1" applyBorder="1" applyAlignment="1">
      <alignment horizontal="center"/>
    </xf>
    <xf numFmtId="0" fontId="21" fillId="5" borderId="0" xfId="2" applyFont="1" applyFill="1" applyBorder="1" applyAlignment="1">
      <alignment horizontal="center"/>
    </xf>
    <xf numFmtId="173" fontId="9" fillId="0" borderId="0" xfId="0" applyNumberFormat="1" applyFont="1"/>
    <xf numFmtId="174" fontId="9" fillId="0" borderId="0" xfId="0" applyNumberFormat="1" applyFont="1"/>
    <xf numFmtId="0" fontId="16" fillId="6" borderId="9" xfId="2" applyFont="1" applyFill="1" applyBorder="1"/>
    <xf numFmtId="42" fontId="16" fillId="6" borderId="10" xfId="2" applyNumberFormat="1" applyFont="1" applyFill="1" applyBorder="1"/>
    <xf numFmtId="173" fontId="16" fillId="6" borderId="10" xfId="2" applyNumberFormat="1" applyFont="1" applyFill="1" applyBorder="1"/>
    <xf numFmtId="174" fontId="16" fillId="6" borderId="10" xfId="2" applyNumberFormat="1" applyFont="1" applyFill="1" applyBorder="1"/>
    <xf numFmtId="174" fontId="16" fillId="6" borderId="11" xfId="2" applyNumberFormat="1" applyFont="1" applyFill="1" applyBorder="1"/>
    <xf numFmtId="0" fontId="19" fillId="7" borderId="9" xfId="2" applyFont="1" applyFill="1" applyBorder="1"/>
    <xf numFmtId="42" fontId="19" fillId="7" borderId="10" xfId="2" applyNumberFormat="1" applyFont="1" applyFill="1" applyBorder="1"/>
    <xf numFmtId="173" fontId="19" fillId="7" borderId="10" xfId="2" applyNumberFormat="1" applyFont="1" applyFill="1" applyBorder="1"/>
    <xf numFmtId="174" fontId="19" fillId="7" borderId="10" xfId="2" applyNumberFormat="1" applyFont="1" applyFill="1" applyBorder="1"/>
    <xf numFmtId="174" fontId="19" fillId="7" borderId="11" xfId="2" applyNumberFormat="1" applyFont="1" applyFill="1" applyBorder="1"/>
    <xf numFmtId="42" fontId="14" fillId="0" borderId="0" xfId="0" applyNumberFormat="1" applyFont="1" applyFill="1" applyBorder="1"/>
    <xf numFmtId="41" fontId="14" fillId="0" borderId="0" xfId="0" applyNumberFormat="1" applyFont="1" applyFill="1" applyBorder="1"/>
    <xf numFmtId="168" fontId="14" fillId="0" borderId="0" xfId="0" applyNumberFormat="1" applyFont="1" applyFill="1" applyBorder="1"/>
    <xf numFmtId="168" fontId="16" fillId="6" borderId="10" xfId="2" applyNumberFormat="1" applyFont="1" applyFill="1" applyBorder="1"/>
    <xf numFmtId="168" fontId="19" fillId="7" borderId="10" xfId="2" applyNumberFormat="1" applyFont="1" applyFill="1" applyBorder="1"/>
    <xf numFmtId="175" fontId="9" fillId="0" borderId="0" xfId="0" applyNumberFormat="1" applyFont="1"/>
    <xf numFmtId="0" fontId="2" fillId="0" borderId="0" xfId="0" applyFont="1"/>
  </cellXfs>
  <cellStyles count="3">
    <cellStyle name="Normal" xfId="0" builtinId="0"/>
    <cellStyle name="Normal 2" xfId="2" xr:uid="{EEF1FE11-9F4F-4BE3-BD4C-457391DFFA66}"/>
    <cellStyle name="Note" xfId="1" builtinId="10"/>
  </cellStyles>
  <dxfs count="0"/>
  <tableStyles count="0" defaultTableStyle="TableStyleMedium2" defaultPivotStyle="PivotStyleMedium9"/>
  <colors>
    <mruColors>
      <color rgb="FF0000FF"/>
      <color rgb="FFB2B2B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D15FB-B482-4A30-822A-B09B10423E0C}">
  <sheetPr>
    <pageSetUpPr autoPageBreaks="0"/>
  </sheetPr>
  <dimension ref="B2:O55"/>
  <sheetViews>
    <sheetView showGridLines="0" tabSelected="1" zoomScaleNormal="100" workbookViewId="0">
      <selection activeCell="B2" sqref="B2"/>
    </sheetView>
  </sheetViews>
  <sheetFormatPr defaultRowHeight="15.75" x14ac:dyDescent="0.25"/>
  <cols>
    <col min="1" max="2" width="2.7109375" style="2" customWidth="1"/>
    <col min="3" max="3" width="33.140625" style="2" bestFit="1" customWidth="1"/>
    <col min="4" max="15" width="15.7109375" style="2" customWidth="1"/>
    <col min="16" max="16" width="2.7109375" style="2" customWidth="1"/>
    <col min="17" max="21" width="14.7109375" style="2" customWidth="1"/>
    <col min="22" max="16384" width="9.140625" style="2"/>
  </cols>
  <sheetData>
    <row r="2" spans="2:15" ht="18.75" x14ac:dyDescent="0.3">
      <c r="B2" s="20" t="s">
        <v>101</v>
      </c>
    </row>
    <row r="3" spans="2:15" x14ac:dyDescent="0.25">
      <c r="B3" s="2" t="s">
        <v>28</v>
      </c>
    </row>
    <row r="5" spans="2:15" x14ac:dyDescent="0.25">
      <c r="B5" s="21" t="s">
        <v>102</v>
      </c>
      <c r="C5" s="22"/>
      <c r="D5" s="22"/>
      <c r="E5" s="22"/>
      <c r="F5" s="22"/>
      <c r="G5" s="22"/>
      <c r="H5" s="22"/>
      <c r="I5" s="22"/>
      <c r="J5" s="22"/>
      <c r="K5" s="22"/>
      <c r="L5" s="22"/>
      <c r="M5" s="22"/>
      <c r="N5" s="22"/>
      <c r="O5" s="22"/>
    </row>
    <row r="7" spans="2:15" x14ac:dyDescent="0.25">
      <c r="C7" s="77" t="s">
        <v>91</v>
      </c>
      <c r="D7" s="75" t="s">
        <v>88</v>
      </c>
      <c r="E7" s="75" t="s">
        <v>89</v>
      </c>
      <c r="F7" s="75" t="s">
        <v>106</v>
      </c>
      <c r="G7" s="75" t="s">
        <v>96</v>
      </c>
      <c r="H7" s="75" t="s">
        <v>106</v>
      </c>
      <c r="I7" s="75" t="s">
        <v>96</v>
      </c>
      <c r="J7" s="75" t="s">
        <v>93</v>
      </c>
      <c r="K7" s="75" t="s">
        <v>95</v>
      </c>
      <c r="L7" s="75" t="s">
        <v>106</v>
      </c>
      <c r="M7" s="75" t="s">
        <v>94</v>
      </c>
      <c r="N7" s="75" t="s">
        <v>106</v>
      </c>
      <c r="O7" s="75" t="s">
        <v>94</v>
      </c>
    </row>
    <row r="8" spans="2:15" x14ac:dyDescent="0.25">
      <c r="C8" s="76" t="s">
        <v>92</v>
      </c>
      <c r="D8" s="76" t="s">
        <v>90</v>
      </c>
      <c r="E8" s="76" t="s">
        <v>90</v>
      </c>
      <c r="F8" s="76" t="s">
        <v>93</v>
      </c>
      <c r="G8" s="76" t="s">
        <v>93</v>
      </c>
      <c r="H8" s="76" t="s">
        <v>95</v>
      </c>
      <c r="I8" s="76" t="s">
        <v>95</v>
      </c>
      <c r="J8" s="76" t="s">
        <v>97</v>
      </c>
      <c r="K8" s="76" t="s">
        <v>97</v>
      </c>
      <c r="L8" s="76" t="s">
        <v>98</v>
      </c>
      <c r="M8" s="76" t="s">
        <v>98</v>
      </c>
      <c r="N8" s="76" t="s">
        <v>99</v>
      </c>
      <c r="O8" s="76" t="s">
        <v>99</v>
      </c>
    </row>
    <row r="9" spans="2:15" x14ac:dyDescent="0.25">
      <c r="C9" s="74" t="s">
        <v>100</v>
      </c>
      <c r="D9" s="90">
        <v>35304.5</v>
      </c>
      <c r="E9" s="90">
        <v>46760.7</v>
      </c>
      <c r="F9" s="90">
        <v>27754</v>
      </c>
      <c r="G9" s="90">
        <v>29884.67</v>
      </c>
      <c r="H9" s="90">
        <v>2841.7</v>
      </c>
      <c r="I9" s="90">
        <v>3039</v>
      </c>
      <c r="J9" s="78">
        <f>+G9/F9-1</f>
        <v>7.6769834978741791E-2</v>
      </c>
      <c r="K9" s="78">
        <f>+I9/H9-1</f>
        <v>6.9430270612661493E-2</v>
      </c>
      <c r="L9" s="79">
        <f t="shared" ref="L9:L12" si="0">IFERROR(IF(OR(+$E9/F9&lt;0,+$E9/F9&gt;=100),"NM",+$E9/F9),"N/A")</f>
        <v>1.6848274122648987</v>
      </c>
      <c r="M9" s="79">
        <f t="shared" ref="M9:M12" si="1">IFERROR(IF(OR(+$E9/G9&lt;0,+$E9/G9&gt;=100),"NM",+$E9/G9),"N/A")</f>
        <v>1.5647052485438186</v>
      </c>
      <c r="N9" s="79">
        <f t="shared" ref="N9:N12" si="2">IFERROR(IF(OR(+$E9/H9&lt;0,+$E9/H9&gt;=100),"NM",+$E9/H9),"N/A")</f>
        <v>16.455185276419044</v>
      </c>
      <c r="O9" s="79">
        <f t="shared" ref="O9:O12" si="3">IFERROR(IF(OR(+$E9/I9&lt;0,+$E9/I9&gt;=100),"NM",+$E9/I9),"N/A")</f>
        <v>15.386870681145112</v>
      </c>
    </row>
    <row r="10" spans="2:15" x14ac:dyDescent="0.25">
      <c r="C10" s="74" t="s">
        <v>103</v>
      </c>
      <c r="D10" s="91">
        <v>128243.6</v>
      </c>
      <c r="E10" s="91">
        <v>128688.6</v>
      </c>
      <c r="F10" s="91">
        <v>158350</v>
      </c>
      <c r="G10" s="91">
        <v>169872.36</v>
      </c>
      <c r="H10" s="91">
        <v>6479</v>
      </c>
      <c r="I10" s="91">
        <v>7218.21</v>
      </c>
      <c r="J10" s="78">
        <f t="shared" ref="J10:J12" si="4">+G10/F10-1</f>
        <v>7.276514051152505E-2</v>
      </c>
      <c r="K10" s="78">
        <f>+I10/H10-1</f>
        <v>0.1140932242630035</v>
      </c>
      <c r="L10" s="79">
        <f t="shared" si="0"/>
        <v>0.81268455952005059</v>
      </c>
      <c r="M10" s="79">
        <f t="shared" si="1"/>
        <v>0.75756055899853292</v>
      </c>
      <c r="N10" s="79">
        <f t="shared" si="2"/>
        <v>19.862417039666617</v>
      </c>
      <c r="O10" s="79">
        <f t="shared" si="3"/>
        <v>17.828325859181156</v>
      </c>
    </row>
    <row r="11" spans="2:15" x14ac:dyDescent="0.25">
      <c r="C11" s="74" t="s">
        <v>104</v>
      </c>
      <c r="D11" s="91">
        <v>322794.59999999998</v>
      </c>
      <c r="E11" s="91">
        <v>393341.6</v>
      </c>
      <c r="F11" s="91">
        <v>523964</v>
      </c>
      <c r="G11" s="91">
        <v>536077.59</v>
      </c>
      <c r="H11" s="91">
        <v>32935</v>
      </c>
      <c r="I11" s="91">
        <v>33250.839999999997</v>
      </c>
      <c r="J11" s="78">
        <f t="shared" si="4"/>
        <v>2.3119126504874243E-2</v>
      </c>
      <c r="K11" s="78">
        <f>+I11/H11-1</f>
        <v>9.5897980871413324E-3</v>
      </c>
      <c r="L11" s="79">
        <f t="shared" si="0"/>
        <v>0.75070348344542748</v>
      </c>
      <c r="M11" s="79">
        <f t="shared" si="1"/>
        <v>0.73374005430818323</v>
      </c>
      <c r="N11" s="79">
        <f t="shared" si="2"/>
        <v>11.942966449066342</v>
      </c>
      <c r="O11" s="79">
        <f t="shared" si="3"/>
        <v>11.829523705265792</v>
      </c>
    </row>
    <row r="12" spans="2:15" x14ac:dyDescent="0.25">
      <c r="C12" s="74" t="s">
        <v>105</v>
      </c>
      <c r="D12" s="91">
        <v>17990.5</v>
      </c>
      <c r="E12" s="91">
        <v>27482.3</v>
      </c>
      <c r="F12" s="91">
        <v>23610.799999999999</v>
      </c>
      <c r="G12" s="91">
        <v>24498.61</v>
      </c>
      <c r="H12" s="91">
        <v>2229.6999999999998</v>
      </c>
      <c r="I12" s="91">
        <v>2363.56</v>
      </c>
      <c r="J12" s="78">
        <f t="shared" si="4"/>
        <v>3.7601860165686896E-2</v>
      </c>
      <c r="K12" s="78">
        <f>+I12/H12-1</f>
        <v>6.0034982284612237E-2</v>
      </c>
      <c r="L12" s="79">
        <f t="shared" si="0"/>
        <v>1.163971572331306</v>
      </c>
      <c r="M12" s="79">
        <f t="shared" si="1"/>
        <v>1.1217901750344204</v>
      </c>
      <c r="N12" s="79">
        <f t="shared" si="2"/>
        <v>12.325559492308383</v>
      </c>
      <c r="O12" s="79">
        <f t="shared" si="3"/>
        <v>11.627502580852612</v>
      </c>
    </row>
    <row r="14" spans="2:15" x14ac:dyDescent="0.25">
      <c r="C14" s="80" t="s">
        <v>107</v>
      </c>
      <c r="D14" s="81">
        <f>MEDIAN(D9:D12)</f>
        <v>81774.05</v>
      </c>
      <c r="E14" s="81">
        <f t="shared" ref="E14:O14" si="5">MEDIAN(E9:E12)</f>
        <v>87724.65</v>
      </c>
      <c r="F14" s="81">
        <f t="shared" si="5"/>
        <v>93052</v>
      </c>
      <c r="G14" s="81">
        <f t="shared" si="5"/>
        <v>99878.514999999999</v>
      </c>
      <c r="H14" s="81">
        <f t="shared" si="5"/>
        <v>4660.3500000000004</v>
      </c>
      <c r="I14" s="81">
        <f t="shared" si="5"/>
        <v>5128.6049999999996</v>
      </c>
      <c r="J14" s="82">
        <f t="shared" si="5"/>
        <v>5.5183500338605973E-2</v>
      </c>
      <c r="K14" s="82">
        <f t="shared" si="5"/>
        <v>6.4732626448636865E-2</v>
      </c>
      <c r="L14" s="83">
        <f t="shared" si="5"/>
        <v>0.98832806592567835</v>
      </c>
      <c r="M14" s="83">
        <f t="shared" si="5"/>
        <v>0.93967536701647658</v>
      </c>
      <c r="N14" s="83">
        <f t="shared" si="5"/>
        <v>14.390372384363713</v>
      </c>
      <c r="O14" s="84">
        <f t="shared" si="5"/>
        <v>13.608197193205452</v>
      </c>
    </row>
    <row r="16" spans="2:15" x14ac:dyDescent="0.25">
      <c r="C16" s="85" t="s">
        <v>108</v>
      </c>
      <c r="D16" s="86">
        <f>TGT!F17</f>
        <v>49591.822747400001</v>
      </c>
      <c r="E16" s="86">
        <f>TGT!F29</f>
        <v>60477.082747400003</v>
      </c>
      <c r="F16" s="86">
        <f>TGT!F33</f>
        <v>78112</v>
      </c>
      <c r="G16" s="86">
        <v>81481.289999999994</v>
      </c>
      <c r="H16" s="86">
        <f>TGT!F39</f>
        <v>7262</v>
      </c>
      <c r="I16" s="86">
        <v>7521</v>
      </c>
      <c r="J16" s="87">
        <f t="shared" ref="J16" si="6">+G16/F16-1</f>
        <v>4.3134089512494755E-2</v>
      </c>
      <c r="K16" s="87">
        <f>+I16/H16-1</f>
        <v>3.5665106031396387E-2</v>
      </c>
      <c r="L16" s="88">
        <f t="shared" ref="L16" si="7">IFERROR(IF(OR(+$E16/F16&lt;0,+$E16/F16&gt;=100),"NM",+$E16/F16),"N/A")</f>
        <v>0.7742354919525809</v>
      </c>
      <c r="M16" s="88">
        <f t="shared" ref="M16" si="8">IFERROR(IF(OR(+$E16/G16&lt;0,+$E16/G16&gt;=100),"NM",+$E16/G16),"N/A")</f>
        <v>0.7422204870271446</v>
      </c>
      <c r="N16" s="88">
        <f t="shared" ref="N16" si="9">IFERROR(IF(OR(+$E16/H16&lt;0,+$E16/H16&gt;=100),"NM",+$E16/H16),"N/A")</f>
        <v>8.3278825044615807</v>
      </c>
      <c r="O16" s="89">
        <f t="shared" ref="O16" si="10">IFERROR(IF(OR(+$E16/I16&lt;0,+$E16/I16&gt;=100),"NM",+$E16/I16),"N/A")</f>
        <v>8.0410959642866651</v>
      </c>
    </row>
    <row r="17" spans="2:15" x14ac:dyDescent="0.25">
      <c r="J17" s="95"/>
      <c r="K17" s="95"/>
      <c r="L17" s="95"/>
      <c r="M17" s="95"/>
      <c r="N17" s="95"/>
      <c r="O17" s="95"/>
    </row>
    <row r="18" spans="2:15" x14ac:dyDescent="0.25">
      <c r="C18" s="1" t="s">
        <v>127</v>
      </c>
    </row>
    <row r="19" spans="2:15" x14ac:dyDescent="0.25">
      <c r="C19" s="74" t="s">
        <v>126</v>
      </c>
    </row>
    <row r="21" spans="2:15" x14ac:dyDescent="0.25">
      <c r="B21" s="21" t="s">
        <v>110</v>
      </c>
      <c r="C21" s="22"/>
      <c r="D21" s="22"/>
      <c r="E21" s="22"/>
      <c r="F21" s="22"/>
      <c r="G21" s="22"/>
      <c r="H21" s="22"/>
      <c r="I21" s="22"/>
      <c r="J21" s="22"/>
      <c r="K21" s="22"/>
      <c r="L21" s="22"/>
      <c r="M21" s="22"/>
      <c r="N21" s="22"/>
      <c r="O21" s="22"/>
    </row>
    <row r="23" spans="2:15" x14ac:dyDescent="0.25">
      <c r="C23" s="77" t="s">
        <v>91</v>
      </c>
      <c r="D23" s="75" t="s">
        <v>88</v>
      </c>
      <c r="E23" s="75" t="s">
        <v>89</v>
      </c>
      <c r="F23" s="75" t="s">
        <v>106</v>
      </c>
      <c r="G23" s="75" t="s">
        <v>96</v>
      </c>
      <c r="H23" s="75" t="s">
        <v>106</v>
      </c>
      <c r="I23" s="75" t="s">
        <v>96</v>
      </c>
      <c r="J23" s="75" t="s">
        <v>93</v>
      </c>
      <c r="K23" s="75" t="s">
        <v>95</v>
      </c>
      <c r="L23" s="75" t="s">
        <v>106</v>
      </c>
      <c r="M23" s="75" t="s">
        <v>94</v>
      </c>
      <c r="N23" s="75" t="s">
        <v>106</v>
      </c>
      <c r="O23" s="75" t="s">
        <v>94</v>
      </c>
    </row>
    <row r="24" spans="2:15" x14ac:dyDescent="0.25">
      <c r="C24" s="76" t="s">
        <v>92</v>
      </c>
      <c r="D24" s="76" t="s">
        <v>90</v>
      </c>
      <c r="E24" s="76" t="s">
        <v>90</v>
      </c>
      <c r="F24" s="76" t="s">
        <v>93</v>
      </c>
      <c r="G24" s="76" t="s">
        <v>93</v>
      </c>
      <c r="H24" s="76" t="s">
        <v>95</v>
      </c>
      <c r="I24" s="76" t="s">
        <v>95</v>
      </c>
      <c r="J24" s="76" t="s">
        <v>97</v>
      </c>
      <c r="K24" s="76" t="s">
        <v>97</v>
      </c>
      <c r="L24" s="76" t="s">
        <v>98</v>
      </c>
      <c r="M24" s="76" t="s">
        <v>98</v>
      </c>
      <c r="N24" s="76" t="s">
        <v>99</v>
      </c>
      <c r="O24" s="76" t="s">
        <v>99</v>
      </c>
    </row>
    <row r="25" spans="2:15" x14ac:dyDescent="0.25">
      <c r="C25" s="74" t="s">
        <v>118</v>
      </c>
      <c r="D25" s="90">
        <v>5098.8999999999996</v>
      </c>
      <c r="E25" s="90">
        <v>4745.8</v>
      </c>
      <c r="F25" s="90">
        <v>674.9</v>
      </c>
      <c r="G25" s="90">
        <v>840.44</v>
      </c>
      <c r="H25" s="90">
        <v>-29.3</v>
      </c>
      <c r="I25" s="90">
        <v>92.27</v>
      </c>
      <c r="J25" s="78">
        <f>+G25/F25-1</f>
        <v>0.24528078233812423</v>
      </c>
      <c r="K25" s="78">
        <f>+I25/H25-1</f>
        <v>-4.1491467576791807</v>
      </c>
      <c r="L25" s="79">
        <f>IFERROR(IF(OR(+$E25/F25&lt;0,+$E25/F25&gt;=100),"NM",+$E25/F25),"N/A")</f>
        <v>7.0318565713439032</v>
      </c>
      <c r="M25" s="79">
        <f t="shared" ref="M25:M32" si="11">IFERROR(IF(OR(+$E25/G25&lt;0,+$E25/G25&gt;=100),"NM",+$E25/G25),"N/A")</f>
        <v>5.6468040550187997</v>
      </c>
      <c r="N25" s="79" t="str">
        <f t="shared" ref="N25:N32" si="12">IFERROR(IF(OR(+$E25/H25&lt;0,+$E25/H25&gt;=100),"NM",+$E25/H25),"N/A")</f>
        <v>NM</v>
      </c>
      <c r="O25" s="79">
        <f t="shared" ref="O25:O32" si="13">IFERROR(IF(OR(+$E25/I25&lt;0,+$E25/I25&gt;=100),"NM",+$E25/I25),"N/A")</f>
        <v>51.433835482822154</v>
      </c>
    </row>
    <row r="26" spans="2:15" x14ac:dyDescent="0.25">
      <c r="C26" s="74" t="s">
        <v>111</v>
      </c>
      <c r="D26" s="91">
        <v>14302.6</v>
      </c>
      <c r="E26" s="91">
        <v>14294.9</v>
      </c>
      <c r="F26" s="91">
        <v>974</v>
      </c>
      <c r="G26" s="91">
        <v>1269.47</v>
      </c>
      <c r="H26" s="91">
        <v>-147.4</v>
      </c>
      <c r="I26" s="91">
        <v>168.57</v>
      </c>
      <c r="J26" s="78">
        <f t="shared" ref="J26:J32" si="14">+G26/F26-1</f>
        <v>0.30335728952772079</v>
      </c>
      <c r="K26" s="78">
        <f t="shared" ref="K26:K32" si="15">+I26/H26-1</f>
        <v>-2.1436227951153324</v>
      </c>
      <c r="L26" s="79">
        <f t="shared" ref="L26:L32" si="16">IFERROR(IF(OR(+$E26/F26&lt;0,+$E26/F26&gt;=100),"NM",+$E26/F26),"N/A")</f>
        <v>14.676488706365502</v>
      </c>
      <c r="M26" s="79">
        <f t="shared" si="11"/>
        <v>11.260526046302788</v>
      </c>
      <c r="N26" s="79" t="str">
        <f t="shared" si="12"/>
        <v>NM</v>
      </c>
      <c r="O26" s="79">
        <f t="shared" si="13"/>
        <v>84.800972889600757</v>
      </c>
    </row>
    <row r="27" spans="2:15" x14ac:dyDescent="0.25">
      <c r="C27" s="74" t="s">
        <v>112</v>
      </c>
      <c r="D27" s="91">
        <v>36423.699999999997</v>
      </c>
      <c r="E27" s="91">
        <v>35640.9</v>
      </c>
      <c r="F27" s="91">
        <v>622.70000000000005</v>
      </c>
      <c r="G27" s="91">
        <v>917.83</v>
      </c>
      <c r="H27" s="91">
        <v>29.1</v>
      </c>
      <c r="I27" s="91">
        <v>177.27</v>
      </c>
      <c r="J27" s="78">
        <f t="shared" si="14"/>
        <v>0.47395214388951334</v>
      </c>
      <c r="K27" s="78">
        <f t="shared" si="15"/>
        <v>5.0917525773195873</v>
      </c>
      <c r="L27" s="79">
        <f t="shared" si="16"/>
        <v>57.236068732937206</v>
      </c>
      <c r="M27" s="79">
        <f t="shared" si="11"/>
        <v>38.831700859636314</v>
      </c>
      <c r="N27" s="79" t="str">
        <f t="shared" si="12"/>
        <v>NM</v>
      </c>
      <c r="O27" s="79" t="str">
        <f t="shared" si="13"/>
        <v>NM</v>
      </c>
    </row>
    <row r="28" spans="2:15" x14ac:dyDescent="0.25">
      <c r="C28" s="74" t="s">
        <v>113</v>
      </c>
      <c r="D28" s="91">
        <v>11117.7</v>
      </c>
      <c r="E28" s="91">
        <v>11045.3</v>
      </c>
      <c r="F28" s="91">
        <v>737.7</v>
      </c>
      <c r="G28" s="91">
        <v>910.63</v>
      </c>
      <c r="H28" s="91">
        <v>249.4</v>
      </c>
      <c r="I28" s="91">
        <v>382.47</v>
      </c>
      <c r="J28" s="78">
        <f t="shared" si="14"/>
        <v>0.23441778500745558</v>
      </c>
      <c r="K28" s="78">
        <f t="shared" si="15"/>
        <v>0.53356054530874109</v>
      </c>
      <c r="L28" s="79">
        <f t="shared" si="16"/>
        <v>14.97261759522841</v>
      </c>
      <c r="M28" s="79">
        <f t="shared" si="11"/>
        <v>12.129295103389961</v>
      </c>
      <c r="N28" s="79">
        <f t="shared" si="12"/>
        <v>44.287489975942258</v>
      </c>
      <c r="O28" s="79">
        <f t="shared" si="13"/>
        <v>28.878866316312386</v>
      </c>
    </row>
    <row r="29" spans="2:15" x14ac:dyDescent="0.25">
      <c r="C29" s="74" t="s">
        <v>114</v>
      </c>
      <c r="D29" s="91">
        <v>12377.8</v>
      </c>
      <c r="E29" s="91">
        <v>11851.2</v>
      </c>
      <c r="F29" s="91">
        <v>630.4</v>
      </c>
      <c r="G29" s="91">
        <v>855.23</v>
      </c>
      <c r="H29" s="91">
        <v>-527.6</v>
      </c>
      <c r="I29" s="91">
        <v>-96.08</v>
      </c>
      <c r="J29" s="78">
        <f t="shared" si="14"/>
        <v>0.35664657360406093</v>
      </c>
      <c r="K29" s="78">
        <f t="shared" si="15"/>
        <v>-0.81789234268385136</v>
      </c>
      <c r="L29" s="79">
        <f t="shared" si="16"/>
        <v>18.799492385786802</v>
      </c>
      <c r="M29" s="79">
        <f t="shared" si="11"/>
        <v>13.857324930135754</v>
      </c>
      <c r="N29" s="79" t="str">
        <f t="shared" si="12"/>
        <v>NM</v>
      </c>
      <c r="O29" s="79" t="str">
        <f t="shared" si="13"/>
        <v>NM</v>
      </c>
    </row>
    <row r="30" spans="2:15" x14ac:dyDescent="0.25">
      <c r="C30" s="74" t="s">
        <v>115</v>
      </c>
      <c r="D30" s="91">
        <v>2264.6</v>
      </c>
      <c r="E30" s="91">
        <v>2020.6</v>
      </c>
      <c r="F30" s="91">
        <v>572</v>
      </c>
      <c r="G30" s="91">
        <v>668.44</v>
      </c>
      <c r="H30" s="91">
        <v>-38</v>
      </c>
      <c r="I30" s="91">
        <v>79.040000000000006</v>
      </c>
      <c r="J30" s="78">
        <f t="shared" si="14"/>
        <v>0.16860139860139878</v>
      </c>
      <c r="K30" s="78">
        <f t="shared" si="15"/>
        <v>-3.08</v>
      </c>
      <c r="L30" s="79">
        <f t="shared" si="16"/>
        <v>3.5325174825174823</v>
      </c>
      <c r="M30" s="79">
        <f t="shared" si="11"/>
        <v>3.0228591945425167</v>
      </c>
      <c r="N30" s="79" t="str">
        <f t="shared" si="12"/>
        <v>NM</v>
      </c>
      <c r="O30" s="79">
        <f t="shared" si="13"/>
        <v>25.564271255060724</v>
      </c>
    </row>
    <row r="31" spans="2:15" x14ac:dyDescent="0.25">
      <c r="C31" s="74" t="s">
        <v>116</v>
      </c>
      <c r="D31" s="91">
        <v>1880.8</v>
      </c>
      <c r="E31" s="91">
        <v>43913.848611111112</v>
      </c>
      <c r="F31" s="91">
        <v>696.3</v>
      </c>
      <c r="G31" s="91">
        <v>773.13</v>
      </c>
      <c r="H31" s="91">
        <v>-80</v>
      </c>
      <c r="I31" s="91">
        <v>116.22</v>
      </c>
      <c r="J31" s="78">
        <f t="shared" si="14"/>
        <v>0.11034037052994417</v>
      </c>
      <c r="K31" s="78">
        <f t="shared" si="15"/>
        <v>-2.45275</v>
      </c>
      <c r="L31" s="79">
        <f t="shared" si="16"/>
        <v>63.067425838160439</v>
      </c>
      <c r="M31" s="79">
        <f t="shared" si="11"/>
        <v>56.800083570823936</v>
      </c>
      <c r="N31" s="79" t="str">
        <f t="shared" si="12"/>
        <v>NM</v>
      </c>
      <c r="O31" s="79" t="str">
        <f t="shared" si="13"/>
        <v>NM</v>
      </c>
    </row>
    <row r="32" spans="2:15" x14ac:dyDescent="0.25">
      <c r="C32" s="74" t="s">
        <v>117</v>
      </c>
      <c r="D32" s="91">
        <v>6813.8</v>
      </c>
      <c r="E32" s="91">
        <v>7248.5</v>
      </c>
      <c r="F32" s="91">
        <v>824.1</v>
      </c>
      <c r="G32" s="91">
        <v>904.31</v>
      </c>
      <c r="H32" s="91">
        <v>121.5</v>
      </c>
      <c r="I32" s="91">
        <v>189.34</v>
      </c>
      <c r="J32" s="78">
        <f t="shared" si="14"/>
        <v>9.7330421065404682E-2</v>
      </c>
      <c r="K32" s="78">
        <f t="shared" si="15"/>
        <v>0.5583539094650205</v>
      </c>
      <c r="L32" s="79">
        <f t="shared" si="16"/>
        <v>8.7956558670064311</v>
      </c>
      <c r="M32" s="79">
        <f t="shared" si="11"/>
        <v>8.0155035330804711</v>
      </c>
      <c r="N32" s="79">
        <f t="shared" si="12"/>
        <v>59.65843621399177</v>
      </c>
      <c r="O32" s="79">
        <f t="shared" si="13"/>
        <v>38.282982993556566</v>
      </c>
    </row>
    <row r="34" spans="2:15" x14ac:dyDescent="0.25">
      <c r="C34" s="80" t="s">
        <v>107</v>
      </c>
      <c r="D34" s="81">
        <f t="shared" ref="D34:O34" si="17">MEDIAN(D25:D32)</f>
        <v>8965.75</v>
      </c>
      <c r="E34" s="81">
        <f t="shared" si="17"/>
        <v>11448.25</v>
      </c>
      <c r="F34" s="81">
        <f t="shared" si="17"/>
        <v>685.59999999999991</v>
      </c>
      <c r="G34" s="81">
        <f t="shared" si="17"/>
        <v>879.77</v>
      </c>
      <c r="H34" s="81">
        <f t="shared" si="17"/>
        <v>-33.65</v>
      </c>
      <c r="I34" s="81">
        <f t="shared" si="17"/>
        <v>142.39499999999998</v>
      </c>
      <c r="J34" s="82">
        <f t="shared" si="17"/>
        <v>0.2398492836727899</v>
      </c>
      <c r="K34" s="82">
        <f t="shared" si="17"/>
        <v>-1.480757568899592</v>
      </c>
      <c r="L34" s="83">
        <f t="shared" si="17"/>
        <v>14.824553150796955</v>
      </c>
      <c r="M34" s="83">
        <f t="shared" si="17"/>
        <v>11.694910574846375</v>
      </c>
      <c r="N34" s="83">
        <f t="shared" si="17"/>
        <v>51.972963094967014</v>
      </c>
      <c r="O34" s="84">
        <f t="shared" si="17"/>
        <v>38.282982993556566</v>
      </c>
    </row>
    <row r="36" spans="2:15" x14ac:dyDescent="0.25">
      <c r="C36" s="85" t="s">
        <v>109</v>
      </c>
      <c r="D36" s="86">
        <f>ZEN!F17</f>
        <v>6893.5965489600003</v>
      </c>
      <c r="E36" s="86">
        <f>ZEN!F29</f>
        <v>6798.4522971773176</v>
      </c>
      <c r="F36" s="86">
        <f>ZEN!F47</f>
        <v>816.41600000000005</v>
      </c>
      <c r="G36" s="86">
        <v>1044.83</v>
      </c>
      <c r="H36" s="86">
        <f>ZEN!F53</f>
        <v>-115.40199999999999</v>
      </c>
      <c r="I36" s="86">
        <v>88.33</v>
      </c>
      <c r="J36" s="87">
        <f t="shared" ref="J36" si="18">+G36/F36-1</f>
        <v>0.27977648649707976</v>
      </c>
      <c r="K36" s="87">
        <f t="shared" ref="K36" si="19">+I36/H36-1</f>
        <v>-1.7654113446907334</v>
      </c>
      <c r="L36" s="88">
        <f t="shared" ref="L36" si="20">IFERROR(IF(OR(+$E36/F36&lt;0,+$E36/F36&gt;=100),"NM",+$E36/F36),"N/A")</f>
        <v>8.3271914038643509</v>
      </c>
      <c r="M36" s="88">
        <f t="shared" ref="M36" si="21">IFERROR(IF(OR(+$E36/G36&lt;0,+$E36/G36&gt;=100),"NM",+$E36/G36),"N/A")</f>
        <v>6.5067544932451389</v>
      </c>
      <c r="N36" s="88" t="str">
        <f t="shared" ref="N36" si="22">IFERROR(IF(OR(+$E36/H36&lt;0,+$E36/H36&gt;=100),"NM",+$E36/H36),"N/A")</f>
        <v>NM</v>
      </c>
      <c r="O36" s="89">
        <f t="shared" ref="O36" si="23">IFERROR(IF(OR(+$E36/I36&lt;0,+$E36/I36&gt;=100),"NM",+$E36/I36),"N/A")</f>
        <v>76.96651530824542</v>
      </c>
    </row>
    <row r="38" spans="2:15" x14ac:dyDescent="0.25">
      <c r="C38" s="1" t="s">
        <v>128</v>
      </c>
    </row>
    <row r="40" spans="2:15" x14ac:dyDescent="0.25">
      <c r="B40" s="21" t="s">
        <v>125</v>
      </c>
      <c r="C40" s="22"/>
      <c r="D40" s="22"/>
      <c r="E40" s="22"/>
      <c r="F40" s="22"/>
      <c r="G40" s="22"/>
      <c r="H40" s="22"/>
      <c r="I40" s="22"/>
      <c r="J40" s="22"/>
      <c r="K40" s="22"/>
      <c r="L40" s="22"/>
      <c r="M40" s="22"/>
      <c r="N40" s="22"/>
      <c r="O40" s="22"/>
    </row>
    <row r="42" spans="2:15" x14ac:dyDescent="0.25">
      <c r="C42" s="77" t="s">
        <v>91</v>
      </c>
      <c r="D42" s="75" t="s">
        <v>88</v>
      </c>
      <c r="E42" s="75" t="s">
        <v>89</v>
      </c>
      <c r="F42" s="75" t="s">
        <v>106</v>
      </c>
      <c r="G42" s="75" t="s">
        <v>96</v>
      </c>
      <c r="H42" s="75" t="s">
        <v>106</v>
      </c>
      <c r="I42" s="75" t="s">
        <v>96</v>
      </c>
      <c r="J42" s="75" t="s">
        <v>93</v>
      </c>
      <c r="K42" s="75" t="s">
        <v>95</v>
      </c>
      <c r="L42" s="75" t="s">
        <v>106</v>
      </c>
      <c r="M42" s="75" t="s">
        <v>94</v>
      </c>
      <c r="N42" s="75" t="s">
        <v>106</v>
      </c>
      <c r="O42" s="75" t="s">
        <v>94</v>
      </c>
    </row>
    <row r="43" spans="2:15" x14ac:dyDescent="0.25">
      <c r="C43" s="76" t="s">
        <v>92</v>
      </c>
      <c r="D43" s="76" t="s">
        <v>90</v>
      </c>
      <c r="E43" s="76" t="s">
        <v>90</v>
      </c>
      <c r="F43" s="76" t="s">
        <v>93</v>
      </c>
      <c r="G43" s="76" t="s">
        <v>93</v>
      </c>
      <c r="H43" s="76" t="s">
        <v>95</v>
      </c>
      <c r="I43" s="76" t="s">
        <v>95</v>
      </c>
      <c r="J43" s="76" t="s">
        <v>97</v>
      </c>
      <c r="K43" s="76" t="s">
        <v>97</v>
      </c>
      <c r="L43" s="76" t="s">
        <v>98</v>
      </c>
      <c r="M43" s="76" t="s">
        <v>98</v>
      </c>
      <c r="N43" s="76" t="s">
        <v>99</v>
      </c>
      <c r="O43" s="76" t="s">
        <v>99</v>
      </c>
    </row>
    <row r="44" spans="2:15" x14ac:dyDescent="0.25">
      <c r="C44" s="74" t="s">
        <v>119</v>
      </c>
      <c r="D44" s="92">
        <v>32136.1</v>
      </c>
      <c r="E44" s="92">
        <v>70729</v>
      </c>
      <c r="F44" s="92">
        <v>46000.9</v>
      </c>
      <c r="G44" s="92">
        <v>46175.78</v>
      </c>
      <c r="H44" s="92">
        <v>13876.1</v>
      </c>
      <c r="I44" s="92">
        <v>14406.97</v>
      </c>
      <c r="J44" s="78">
        <f t="shared" ref="J44:J45" si="24">+G44/F44-1</f>
        <v>3.8016647500374035E-3</v>
      </c>
      <c r="K44" s="78">
        <f t="shared" ref="K44:K45" si="25">+I44/H44-1</f>
        <v>3.8257867844711413E-2</v>
      </c>
      <c r="L44" s="79">
        <f>IFERROR(IF(OR(+$E44/F44&lt;0,+$E44/F44&gt;=100),"NM",+$E44/F44),"N/A")</f>
        <v>1.53755687388725</v>
      </c>
      <c r="M44" s="79">
        <f t="shared" ref="M44:M45" si="26">IFERROR(IF(OR(+$E44/G44&lt;0,+$E44/G44&gt;=100),"NM",+$E44/G44),"N/A")</f>
        <v>1.531733735737653</v>
      </c>
      <c r="N44" s="79">
        <f t="shared" ref="N44:N45" si="27">IFERROR(IF(OR(+$E44/H44&lt;0,+$E44/H44&gt;=100),"NM",+$E44/H44),"N/A")</f>
        <v>5.0971814847111219</v>
      </c>
      <c r="O44" s="79">
        <f t="shared" ref="O44:O45" si="28">IFERROR(IF(OR(+$E44/I44&lt;0,+$E44/I44&gt;=100),"NM",+$E44/I44),"N/A")</f>
        <v>4.9093598445752304</v>
      </c>
    </row>
    <row r="45" spans="2:15" x14ac:dyDescent="0.25">
      <c r="C45" s="74" t="s">
        <v>121</v>
      </c>
      <c r="D45" s="91">
        <v>64946.1</v>
      </c>
      <c r="E45" s="91">
        <v>72879.199999999997</v>
      </c>
      <c r="F45" s="91">
        <v>17298.5</v>
      </c>
      <c r="G45" s="91">
        <v>15656.94</v>
      </c>
      <c r="H45" s="91">
        <v>5749.1</v>
      </c>
      <c r="I45" s="91">
        <v>5366.66</v>
      </c>
      <c r="J45" s="78">
        <f t="shared" si="24"/>
        <v>-9.4896089256293892E-2</v>
      </c>
      <c r="K45" s="78">
        <f t="shared" si="25"/>
        <v>-6.6521716442573653E-2</v>
      </c>
      <c r="L45" s="79">
        <f t="shared" ref="L45" si="29">IFERROR(IF(OR(+$E45/F45&lt;0,+$E45/F45&gt;=100),"NM",+$E45/F45),"N/A")</f>
        <v>4.213035812353672</v>
      </c>
      <c r="M45" s="79">
        <f t="shared" si="26"/>
        <v>4.6547537385977078</v>
      </c>
      <c r="N45" s="79">
        <f t="shared" si="27"/>
        <v>12.67662764606634</v>
      </c>
      <c r="O45" s="79">
        <f t="shared" si="28"/>
        <v>13.579992024834814</v>
      </c>
    </row>
    <row r="46" spans="2:15" x14ac:dyDescent="0.25">
      <c r="C46" s="74" t="s">
        <v>120</v>
      </c>
      <c r="D46" s="91">
        <v>9829.4</v>
      </c>
      <c r="E46" s="91">
        <v>16826.8</v>
      </c>
      <c r="F46" s="91">
        <v>5807</v>
      </c>
      <c r="G46" s="91">
        <v>6109.78</v>
      </c>
      <c r="H46" s="91">
        <v>1452.8</v>
      </c>
      <c r="I46" s="91">
        <v>1922.09</v>
      </c>
      <c r="J46" s="78">
        <f t="shared" ref="J46" si="30">+G46/F46-1</f>
        <v>5.2140520061994211E-2</v>
      </c>
      <c r="K46" s="78">
        <f t="shared" ref="K46" si="31">+I46/H46-1</f>
        <v>0.32302450440528641</v>
      </c>
      <c r="L46" s="79">
        <f t="shared" ref="L46" si="32">IFERROR(IF(OR(+$E46/F46&lt;0,+$E46/F46&gt;=100),"NM",+$E46/F46),"N/A")</f>
        <v>2.8976752195625965</v>
      </c>
      <c r="M46" s="79">
        <f t="shared" ref="M46" si="33">IFERROR(IF(OR(+$E46/G46&lt;0,+$E46/G46&gt;=100),"NM",+$E46/G46),"N/A")</f>
        <v>2.7540762515180579</v>
      </c>
      <c r="N46" s="79">
        <f t="shared" ref="N46" si="34">IFERROR(IF(OR(+$E46/H46&lt;0,+$E46/H46&gt;=100),"NM",+$E46/H46),"N/A")</f>
        <v>11.582323788546255</v>
      </c>
      <c r="O46" s="79">
        <f t="shared" ref="O46" si="35">IFERROR(IF(OR(+$E46/I46&lt;0,+$E46/I46&gt;=100),"NM",+$E46/I46),"N/A")</f>
        <v>8.7544287728462251</v>
      </c>
    </row>
    <row r="47" spans="2:15" x14ac:dyDescent="0.25">
      <c r="C47" s="74" t="s">
        <v>122</v>
      </c>
      <c r="D47" s="91">
        <v>11804.4</v>
      </c>
      <c r="E47" s="91">
        <v>17585.3</v>
      </c>
      <c r="F47" s="91">
        <v>41308</v>
      </c>
      <c r="G47" s="91">
        <v>39920.160000000003</v>
      </c>
      <c r="H47" s="91">
        <v>3762.8</v>
      </c>
      <c r="I47" s="91">
        <v>3808.6</v>
      </c>
      <c r="J47" s="78">
        <f t="shared" ref="J47:J48" si="36">+G47/F47-1</f>
        <v>-3.3597366127626538E-2</v>
      </c>
      <c r="K47" s="78">
        <f t="shared" ref="K47:K48" si="37">+I47/H47-1</f>
        <v>1.2171786967152043E-2</v>
      </c>
      <c r="L47" s="79">
        <f t="shared" ref="L47:L48" si="38">IFERROR(IF(OR(+$E47/F47&lt;0,+$E47/F47&gt;=100),"NM",+$E47/F47),"N/A")</f>
        <v>0.42571172654207418</v>
      </c>
      <c r="M47" s="79">
        <f t="shared" ref="M47:M48" si="39">IFERROR(IF(OR(+$E47/G47&lt;0,+$E47/G47&gt;=100),"NM",+$E47/G47),"N/A")</f>
        <v>0.44051176147590587</v>
      </c>
      <c r="N47" s="79">
        <f t="shared" ref="N47:N48" si="40">IFERROR(IF(OR(+$E47/H47&lt;0,+$E47/H47&gt;=100),"NM",+$E47/H47),"N/A")</f>
        <v>4.6734612522589556</v>
      </c>
      <c r="O47" s="79">
        <f t="shared" ref="O47:O48" si="41">IFERROR(IF(OR(+$E47/I47&lt;0,+$E47/I47&gt;=100),"NM",+$E47/I47),"N/A")</f>
        <v>4.6172609357769261</v>
      </c>
    </row>
    <row r="48" spans="2:15" x14ac:dyDescent="0.25">
      <c r="C48" s="74" t="s">
        <v>123</v>
      </c>
      <c r="D48" s="91">
        <v>1840.9</v>
      </c>
      <c r="E48" s="91">
        <v>6968.4</v>
      </c>
      <c r="F48" s="91">
        <v>7944.9</v>
      </c>
      <c r="G48" s="91">
        <v>7096.16</v>
      </c>
      <c r="H48" s="91">
        <v>619.1</v>
      </c>
      <c r="I48" s="91">
        <v>573.62</v>
      </c>
      <c r="J48" s="78">
        <f t="shared" si="36"/>
        <v>-0.10682827977696385</v>
      </c>
      <c r="K48" s="78">
        <f t="shared" si="37"/>
        <v>-7.3461476336617704E-2</v>
      </c>
      <c r="L48" s="79">
        <f t="shared" si="38"/>
        <v>0.87709096401465092</v>
      </c>
      <c r="M48" s="79">
        <f t="shared" si="39"/>
        <v>0.98199589637212237</v>
      </c>
      <c r="N48" s="79">
        <f t="shared" si="40"/>
        <v>11.255693748990469</v>
      </c>
      <c r="O48" s="79">
        <f t="shared" si="41"/>
        <v>12.148111990516369</v>
      </c>
    </row>
    <row r="50" spans="3:15" x14ac:dyDescent="0.25">
      <c r="C50" s="80" t="s">
        <v>107</v>
      </c>
      <c r="D50" s="93">
        <f t="shared" ref="D50:O50" si="42">MEDIAN(D44:D48)</f>
        <v>11804.4</v>
      </c>
      <c r="E50" s="93">
        <f t="shared" si="42"/>
        <v>17585.3</v>
      </c>
      <c r="F50" s="93">
        <f t="shared" si="42"/>
        <v>17298.5</v>
      </c>
      <c r="G50" s="93">
        <f t="shared" si="42"/>
        <v>15656.94</v>
      </c>
      <c r="H50" s="93">
        <f t="shared" si="42"/>
        <v>3762.8</v>
      </c>
      <c r="I50" s="93">
        <f t="shared" si="42"/>
        <v>3808.6</v>
      </c>
      <c r="J50" s="82">
        <f t="shared" si="42"/>
        <v>-3.3597366127626538E-2</v>
      </c>
      <c r="K50" s="82">
        <f t="shared" si="42"/>
        <v>1.2171786967152043E-2</v>
      </c>
      <c r="L50" s="83">
        <f t="shared" si="42"/>
        <v>1.53755687388725</v>
      </c>
      <c r="M50" s="83">
        <f t="shared" si="42"/>
        <v>1.531733735737653</v>
      </c>
      <c r="N50" s="83">
        <f t="shared" si="42"/>
        <v>11.255693748990469</v>
      </c>
      <c r="O50" s="84">
        <f t="shared" si="42"/>
        <v>8.7544287728462251</v>
      </c>
    </row>
    <row r="52" spans="3:15" x14ac:dyDescent="0.25">
      <c r="C52" s="85" t="s">
        <v>124</v>
      </c>
      <c r="D52" s="94">
        <f>VIV!F17</f>
        <v>22675.410779999995</v>
      </c>
      <c r="E52" s="94">
        <f>VIV!F29</f>
        <v>24046.410779999995</v>
      </c>
      <c r="F52" s="94">
        <f>VIV!F35</f>
        <v>15898</v>
      </c>
      <c r="G52" s="94">
        <v>16318.14</v>
      </c>
      <c r="H52" s="94">
        <f>VIV!F41</f>
        <v>2105</v>
      </c>
      <c r="I52" s="94">
        <v>2267.2600000000002</v>
      </c>
      <c r="J52" s="87">
        <f t="shared" ref="J52" si="43">+G52/F52-1</f>
        <v>2.6427223550132162E-2</v>
      </c>
      <c r="K52" s="87">
        <f t="shared" ref="K52" si="44">+I52/H52-1</f>
        <v>7.7083135391924129E-2</v>
      </c>
      <c r="L52" s="88">
        <f t="shared" ref="L52" si="45">IFERROR(IF(OR(+$E52/F52&lt;0,+$E52/F52&gt;=100),"NM",+$E52/F52),"N/A")</f>
        <v>1.5125431362435524</v>
      </c>
      <c r="M52" s="88">
        <f t="shared" ref="M52" si="46">IFERROR(IF(OR(+$E52/G52&lt;0,+$E52/G52&gt;=100),"NM",+$E52/G52),"N/A")</f>
        <v>1.4735999801447957</v>
      </c>
      <c r="N52" s="88">
        <f t="shared" ref="N52" si="47">IFERROR(IF(OR(+$E52/H52&lt;0,+$E52/H52&gt;=100),"NM",+$E52/H52),"N/A")</f>
        <v>11.423473054631826</v>
      </c>
      <c r="O52" s="89">
        <f t="shared" ref="O52" si="48">IFERROR(IF(OR(+$E52/I52&lt;0,+$E52/I52&gt;=100),"NM",+$E52/I52),"N/A")</f>
        <v>10.60593437894198</v>
      </c>
    </row>
    <row r="54" spans="3:15" x14ac:dyDescent="0.25">
      <c r="C54" s="1" t="s">
        <v>129</v>
      </c>
    </row>
    <row r="55" spans="3:15" x14ac:dyDescent="0.25">
      <c r="C55" s="74" t="s">
        <v>130</v>
      </c>
    </row>
  </sheetData>
  <pageMargins left="0.7" right="0.7" top="0.75" bottom="0.75" header="0.3" footer="0.3"/>
  <pageSetup scale="37" orientation="portrait" r:id="rId1"/>
  <ignoredErrors>
    <ignoredError xmlns:x16r3="http://schemas.microsoft.com/office/spreadsheetml/2018/08/main" sqref="D52:F52" x16r3:misleadingForma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73534-A9E1-4FD2-81A1-A3226D3FCBB9}">
  <sheetPr>
    <pageSetUpPr autoPageBreaks="0"/>
  </sheetPr>
  <dimension ref="B2:N64"/>
  <sheetViews>
    <sheetView showGridLines="0" zoomScaleNormal="100" workbookViewId="0">
      <selection activeCell="B2" sqref="B2"/>
    </sheetView>
  </sheetViews>
  <sheetFormatPr defaultRowHeight="15.75" x14ac:dyDescent="0.25"/>
  <cols>
    <col min="1" max="2" width="2.7109375" style="2" customWidth="1"/>
    <col min="3" max="5" width="15.7109375" style="2" customWidth="1"/>
    <col min="6" max="6" width="18.7109375" style="2" bestFit="1" customWidth="1"/>
    <col min="7" max="8" width="2.7109375" style="2" customWidth="1"/>
    <col min="9" max="13" width="14.7109375" style="2" customWidth="1"/>
    <col min="14" max="15" width="2.7109375" style="2" customWidth="1"/>
    <col min="16" max="21" width="14.7109375" style="2" customWidth="1"/>
    <col min="22" max="16384" width="9.140625" style="2"/>
  </cols>
  <sheetData>
    <row r="2" spans="2:14" ht="18.75" x14ac:dyDescent="0.3">
      <c r="B2" s="20" t="str">
        <f>Company_Name&amp;" - Equity Value and Enterprise Value"</f>
        <v>Target Corporation - Equity Value and Enterprise Value</v>
      </c>
    </row>
    <row r="3" spans="2:14" x14ac:dyDescent="0.25">
      <c r="B3" s="2" t="s">
        <v>28</v>
      </c>
    </row>
    <row r="5" spans="2:14" x14ac:dyDescent="0.25">
      <c r="B5" s="21" t="str">
        <f>Company_Name&amp;" - Equity Value Calculation:"</f>
        <v>Target Corporation - Equity Value Calculation:</v>
      </c>
      <c r="C5" s="22"/>
      <c r="D5" s="22"/>
      <c r="E5" s="22"/>
      <c r="F5" s="22"/>
      <c r="H5" s="21" t="s">
        <v>13</v>
      </c>
      <c r="I5" s="22"/>
      <c r="J5" s="22"/>
      <c r="K5" s="22"/>
      <c r="L5" s="22"/>
      <c r="M5" s="22"/>
    </row>
    <row r="6" spans="2:14" x14ac:dyDescent="0.25">
      <c r="B6" s="3"/>
      <c r="C6" s="4"/>
      <c r="D6" s="4"/>
      <c r="E6" s="4"/>
      <c r="F6" s="4"/>
    </row>
    <row r="7" spans="2:14" x14ac:dyDescent="0.25">
      <c r="B7" s="3"/>
      <c r="C7" s="2" t="s">
        <v>16</v>
      </c>
      <c r="F7" s="5" t="s">
        <v>26</v>
      </c>
      <c r="I7" s="1" t="s">
        <v>14</v>
      </c>
    </row>
    <row r="8" spans="2:14" x14ac:dyDescent="0.25">
      <c r="C8" s="2" t="s">
        <v>18</v>
      </c>
      <c r="F8" s="5" t="s">
        <v>27</v>
      </c>
      <c r="I8" s="1"/>
    </row>
    <row r="9" spans="2:14" x14ac:dyDescent="0.25">
      <c r="C9" s="4" t="s">
        <v>1</v>
      </c>
      <c r="D9" s="4"/>
      <c r="E9" s="4"/>
      <c r="F9" s="47">
        <v>43910</v>
      </c>
      <c r="I9" s="23"/>
      <c r="J9" s="23"/>
      <c r="K9" s="24" t="s">
        <v>3</v>
      </c>
      <c r="L9" s="24" t="s">
        <v>2</v>
      </c>
      <c r="M9" s="23"/>
      <c r="N9" s="8"/>
    </row>
    <row r="10" spans="2:14" x14ac:dyDescent="0.25">
      <c r="C10" s="2" t="s">
        <v>0</v>
      </c>
      <c r="F10" s="29">
        <v>97.4</v>
      </c>
      <c r="I10" s="25" t="s">
        <v>11</v>
      </c>
      <c r="J10" s="22"/>
      <c r="K10" s="25" t="s">
        <v>4</v>
      </c>
      <c r="L10" s="25" t="s">
        <v>9</v>
      </c>
      <c r="M10" s="25" t="s">
        <v>10</v>
      </c>
    </row>
    <row r="11" spans="2:14" x14ac:dyDescent="0.25">
      <c r="C11" s="2" t="s">
        <v>8</v>
      </c>
      <c r="F11" s="26">
        <v>500.961951</v>
      </c>
      <c r="I11" s="9" t="s">
        <v>31</v>
      </c>
      <c r="K11" s="10">
        <v>0.71399999999999997</v>
      </c>
      <c r="L11" s="31">
        <v>56.02</v>
      </c>
      <c r="M11" s="11">
        <f>IF(L11&gt;Share_Price,0,K11-K11*L11/Share_Price)</f>
        <v>0.3033400410677618</v>
      </c>
    </row>
    <row r="12" spans="2:14" x14ac:dyDescent="0.25">
      <c r="C12" s="2" t="s">
        <v>6</v>
      </c>
      <c r="F12" s="48">
        <f>Basic_Shares+M12+M19+M26</f>
        <v>509.15629104106773</v>
      </c>
      <c r="I12" s="15" t="s">
        <v>5</v>
      </c>
      <c r="J12" s="16"/>
      <c r="K12" s="17">
        <f>SUM(K11)</f>
        <v>0.71399999999999997</v>
      </c>
      <c r="L12" s="16"/>
      <c r="M12" s="17">
        <f>SUM(M11)</f>
        <v>0.3033400410677618</v>
      </c>
    </row>
    <row r="13" spans="2:14" x14ac:dyDescent="0.25">
      <c r="C13" s="46" t="s">
        <v>56</v>
      </c>
      <c r="F13" s="49">
        <v>0.22</v>
      </c>
      <c r="I13" s="9"/>
      <c r="K13" s="12"/>
      <c r="L13" s="28"/>
      <c r="M13" s="11"/>
    </row>
    <row r="14" spans="2:14" x14ac:dyDescent="0.25">
      <c r="I14" s="1" t="s">
        <v>12</v>
      </c>
    </row>
    <row r="15" spans="2:14" x14ac:dyDescent="0.25">
      <c r="C15" s="1" t="s">
        <v>15</v>
      </c>
      <c r="F15" s="30">
        <f>Share_Price*Basic_Shares</f>
        <v>48793.694027400001</v>
      </c>
      <c r="I15" s="1"/>
    </row>
    <row r="16" spans="2:14" x14ac:dyDescent="0.25">
      <c r="I16" s="23"/>
      <c r="J16" s="23"/>
      <c r="K16" s="24" t="s">
        <v>3</v>
      </c>
      <c r="L16" s="24" t="s">
        <v>2</v>
      </c>
      <c r="M16" s="23"/>
    </row>
    <row r="17" spans="2:14" x14ac:dyDescent="0.25">
      <c r="C17" s="1" t="s">
        <v>7</v>
      </c>
      <c r="F17" s="30">
        <f>Share_Price*Diluted_Shares</f>
        <v>49591.822747400001</v>
      </c>
      <c r="I17" s="25" t="s">
        <v>11</v>
      </c>
      <c r="J17" s="22"/>
      <c r="K17" s="25" t="s">
        <v>4</v>
      </c>
      <c r="L17" s="25" t="s">
        <v>9</v>
      </c>
      <c r="M17" s="25" t="s">
        <v>10</v>
      </c>
    </row>
    <row r="18" spans="2:14" x14ac:dyDescent="0.25">
      <c r="C18" s="39" t="s">
        <v>44</v>
      </c>
      <c r="F18" s="42">
        <v>-2577</v>
      </c>
      <c r="I18" s="32" t="s">
        <v>30</v>
      </c>
      <c r="K18" s="12">
        <v>3.5750000000000002</v>
      </c>
      <c r="L18" s="18"/>
      <c r="M18" s="11">
        <f>K18</f>
        <v>3.5750000000000002</v>
      </c>
    </row>
    <row r="19" spans="2:14" x14ac:dyDescent="0.25">
      <c r="C19" s="39" t="s">
        <v>45</v>
      </c>
      <c r="F19" s="42">
        <v>0</v>
      </c>
      <c r="I19" s="15" t="s">
        <v>5</v>
      </c>
      <c r="J19" s="16"/>
      <c r="K19" s="17">
        <f>SUM(K18:K18)</f>
        <v>3.5750000000000002</v>
      </c>
      <c r="L19" s="17"/>
      <c r="M19" s="17">
        <f>SUM(M18:M18)</f>
        <v>3.5750000000000002</v>
      </c>
    </row>
    <row r="20" spans="2:14" x14ac:dyDescent="0.25">
      <c r="C20" s="39" t="s">
        <v>46</v>
      </c>
      <c r="F20" s="42">
        <v>0</v>
      </c>
    </row>
    <row r="21" spans="2:14" x14ac:dyDescent="0.25">
      <c r="C21" s="39" t="s">
        <v>47</v>
      </c>
      <c r="F21" s="42">
        <v>0</v>
      </c>
      <c r="I21" s="1" t="s">
        <v>32</v>
      </c>
    </row>
    <row r="22" spans="2:14" x14ac:dyDescent="0.25">
      <c r="C22" s="39" t="s">
        <v>48</v>
      </c>
      <c r="F22" s="42">
        <v>0</v>
      </c>
    </row>
    <row r="23" spans="2:14" x14ac:dyDescent="0.25">
      <c r="C23" s="39" t="s">
        <v>49</v>
      </c>
      <c r="F23" s="45">
        <f>11864+137</f>
        <v>12001</v>
      </c>
      <c r="I23" s="23"/>
      <c r="J23" s="23"/>
      <c r="K23" s="24" t="s">
        <v>3</v>
      </c>
      <c r="L23" s="24" t="s">
        <v>2</v>
      </c>
      <c r="M23" s="23"/>
    </row>
    <row r="24" spans="2:14" x14ac:dyDescent="0.25">
      <c r="C24" s="39" t="s">
        <v>50</v>
      </c>
      <c r="F24" s="42">
        <v>0</v>
      </c>
      <c r="I24" s="25" t="s">
        <v>11</v>
      </c>
      <c r="J24" s="22"/>
      <c r="K24" s="25" t="s">
        <v>4</v>
      </c>
      <c r="L24" s="25" t="s">
        <v>9</v>
      </c>
      <c r="M24" s="25" t="s">
        <v>10</v>
      </c>
    </row>
    <row r="25" spans="2:14" x14ac:dyDescent="0.25">
      <c r="C25" s="39" t="s">
        <v>55</v>
      </c>
      <c r="F25" s="42">
        <v>0</v>
      </c>
      <c r="I25" s="9" t="s">
        <v>29</v>
      </c>
      <c r="K25" s="12">
        <v>4.3159999999999998</v>
      </c>
      <c r="L25" s="13"/>
      <c r="M25" s="11">
        <f>K25</f>
        <v>4.3159999999999998</v>
      </c>
    </row>
    <row r="26" spans="2:14" x14ac:dyDescent="0.25">
      <c r="C26" s="39" t="s">
        <v>51</v>
      </c>
      <c r="F26" s="42">
        <v>0</v>
      </c>
      <c r="I26" s="15" t="s">
        <v>5</v>
      </c>
      <c r="J26" s="16"/>
      <c r="K26" s="17">
        <f>SUM(K25:K25)</f>
        <v>4.3159999999999998</v>
      </c>
      <c r="L26" s="16"/>
      <c r="M26" s="17">
        <f>SUM(M25:M25)</f>
        <v>4.3159999999999998</v>
      </c>
      <c r="N26" s="19"/>
    </row>
    <row r="27" spans="2:14" x14ac:dyDescent="0.25">
      <c r="C27" s="39" t="s">
        <v>52</v>
      </c>
      <c r="F27" s="45">
        <f>(62+55)*(1-Tax_Rate)</f>
        <v>91.26</v>
      </c>
    </row>
    <row r="28" spans="2:14" x14ac:dyDescent="0.25">
      <c r="C28" s="40" t="s">
        <v>53</v>
      </c>
      <c r="D28" s="41"/>
      <c r="E28" s="41"/>
      <c r="F28" s="43">
        <v>1370</v>
      </c>
    </row>
    <row r="29" spans="2:14" x14ac:dyDescent="0.25">
      <c r="C29" s="3" t="s">
        <v>54</v>
      </c>
      <c r="F29" s="30">
        <f>SUM(F17:F28)</f>
        <v>60477.082747400003</v>
      </c>
    </row>
    <row r="31" spans="2:14" x14ac:dyDescent="0.25">
      <c r="B31" s="21" t="s">
        <v>68</v>
      </c>
      <c r="C31" s="22"/>
      <c r="D31" s="22"/>
      <c r="E31" s="22"/>
      <c r="F31" s="22"/>
      <c r="G31" s="58"/>
      <c r="H31" s="21" t="s">
        <v>72</v>
      </c>
      <c r="I31" s="22"/>
      <c r="J31" s="22"/>
      <c r="K31" s="22"/>
      <c r="L31" s="22"/>
      <c r="M31" s="22"/>
    </row>
    <row r="33" spans="2:13" x14ac:dyDescent="0.25">
      <c r="C33" s="1" t="s">
        <v>62</v>
      </c>
      <c r="F33" s="56">
        <v>78112</v>
      </c>
      <c r="I33" s="52" t="s">
        <v>69</v>
      </c>
      <c r="M33" s="62">
        <v>7099</v>
      </c>
    </row>
    <row r="34" spans="2:13" x14ac:dyDescent="0.25">
      <c r="I34" s="53" t="s">
        <v>70</v>
      </c>
      <c r="L34" s="68"/>
      <c r="M34" s="42">
        <v>-3027</v>
      </c>
    </row>
    <row r="35" spans="2:13" x14ac:dyDescent="0.25">
      <c r="C35" s="52" t="s">
        <v>57</v>
      </c>
      <c r="F35" s="42">
        <v>4658</v>
      </c>
      <c r="I35" s="15" t="s">
        <v>71</v>
      </c>
      <c r="J35" s="16"/>
      <c r="K35" s="16"/>
      <c r="M35" s="54">
        <f>SUM(M33:M34)</f>
        <v>4072</v>
      </c>
    </row>
    <row r="36" spans="2:13" x14ac:dyDescent="0.25">
      <c r="C36" s="53" t="s">
        <v>58</v>
      </c>
      <c r="F36" s="43">
        <v>0</v>
      </c>
      <c r="I36" s="4"/>
      <c r="J36" s="4"/>
      <c r="K36" s="4"/>
      <c r="M36" s="4"/>
    </row>
    <row r="37" spans="2:13" x14ac:dyDescent="0.25">
      <c r="C37" s="15" t="s">
        <v>59</v>
      </c>
      <c r="D37" s="16"/>
      <c r="E37" s="16"/>
      <c r="F37" s="54">
        <f>SUM(F35:F36)</f>
        <v>4658</v>
      </c>
      <c r="I37" s="3" t="s">
        <v>59</v>
      </c>
      <c r="J37" s="4"/>
      <c r="K37" s="4"/>
      <c r="M37" s="57">
        <f>F37</f>
        <v>4658</v>
      </c>
    </row>
    <row r="38" spans="2:13" x14ac:dyDescent="0.25">
      <c r="C38" s="53" t="s">
        <v>60</v>
      </c>
      <c r="F38" s="55">
        <v>2604</v>
      </c>
      <c r="I38" s="53" t="s">
        <v>73</v>
      </c>
      <c r="L38" s="68"/>
      <c r="M38" s="42">
        <v>0</v>
      </c>
    </row>
    <row r="39" spans="2:13" x14ac:dyDescent="0.25">
      <c r="C39" s="15" t="s">
        <v>61</v>
      </c>
      <c r="D39" s="16"/>
      <c r="E39" s="16"/>
      <c r="F39" s="54">
        <f>SUM(F37:F38)</f>
        <v>7262</v>
      </c>
      <c r="I39" s="15" t="s">
        <v>65</v>
      </c>
      <c r="J39" s="16"/>
      <c r="K39" s="16"/>
      <c r="M39" s="54">
        <f>SUM(M37:M38)*(1-Tax_Rate)</f>
        <v>3633.2400000000002</v>
      </c>
    </row>
    <row r="40" spans="2:13" x14ac:dyDescent="0.25">
      <c r="C40" s="53" t="s">
        <v>64</v>
      </c>
      <c r="F40" s="42">
        <v>287</v>
      </c>
      <c r="I40" s="53" t="str">
        <f>$C$38</f>
        <v>(+) D&amp;A from Cash Flow Statement:</v>
      </c>
      <c r="M40" s="61">
        <f>$F$38</f>
        <v>2604</v>
      </c>
    </row>
    <row r="41" spans="2:13" x14ac:dyDescent="0.25">
      <c r="C41" s="53" t="s">
        <v>67</v>
      </c>
      <c r="F41" s="43">
        <v>-13</v>
      </c>
      <c r="I41" s="53" t="s">
        <v>74</v>
      </c>
      <c r="M41" s="42">
        <v>178</v>
      </c>
    </row>
    <row r="42" spans="2:13" x14ac:dyDescent="0.25">
      <c r="C42" s="15" t="s">
        <v>63</v>
      </c>
      <c r="D42" s="16"/>
      <c r="E42" s="16"/>
      <c r="F42" s="54">
        <f>SUM(F39:F41)</f>
        <v>7536</v>
      </c>
      <c r="I42" s="53" t="s">
        <v>75</v>
      </c>
      <c r="M42" s="45">
        <f>505+18+140+199</f>
        <v>862</v>
      </c>
    </row>
    <row r="43" spans="2:13" x14ac:dyDescent="0.25">
      <c r="I43" s="53" t="str">
        <f>$I$34</f>
        <v>(-) Capital Expenditures:</v>
      </c>
      <c r="L43" s="41"/>
      <c r="M43" s="61">
        <f>$M$34</f>
        <v>-3027</v>
      </c>
    </row>
    <row r="44" spans="2:13" x14ac:dyDescent="0.25">
      <c r="C44" s="1" t="s">
        <v>66</v>
      </c>
      <c r="F44" s="56">
        <v>3269</v>
      </c>
      <c r="I44" s="15" t="s">
        <v>76</v>
      </c>
      <c r="J44" s="16"/>
      <c r="K44" s="16"/>
      <c r="M44" s="54">
        <f>SUM(M39:M43)</f>
        <v>4250.24</v>
      </c>
    </row>
    <row r="46" spans="2:13" x14ac:dyDescent="0.25">
      <c r="B46" s="21" t="s">
        <v>81</v>
      </c>
      <c r="C46" s="22"/>
      <c r="D46" s="22"/>
      <c r="E46" s="22"/>
      <c r="F46" s="22"/>
      <c r="I46" s="1" t="s">
        <v>77</v>
      </c>
      <c r="M46" s="57">
        <f>F44</f>
        <v>3269</v>
      </c>
    </row>
    <row r="47" spans="2:13" x14ac:dyDescent="0.25">
      <c r="I47" s="53" t="str">
        <f>$C$38</f>
        <v>(+) D&amp;A from Cash Flow Statement:</v>
      </c>
      <c r="M47" s="61">
        <f>$M$40</f>
        <v>2604</v>
      </c>
    </row>
    <row r="48" spans="2:13" x14ac:dyDescent="0.25">
      <c r="C48" s="1" t="s">
        <v>84</v>
      </c>
      <c r="D48" s="1"/>
      <c r="E48" s="1"/>
      <c r="F48" s="71">
        <f>F17</f>
        <v>49591.822747400001</v>
      </c>
      <c r="I48" s="9" t="str">
        <f>$I$41</f>
        <v>(+/-) Deferred Income Taxes:</v>
      </c>
      <c r="M48" s="61">
        <f>$M$41</f>
        <v>178</v>
      </c>
    </row>
    <row r="49" spans="3:13" x14ac:dyDescent="0.25">
      <c r="I49" s="9" t="str">
        <f>$I$42</f>
        <v>(+/-) Change in Working Capital:</v>
      </c>
      <c r="M49" s="61">
        <f>$M$42</f>
        <v>862</v>
      </c>
    </row>
    <row r="50" spans="3:13" x14ac:dyDescent="0.25">
      <c r="C50" s="1" t="s">
        <v>82</v>
      </c>
      <c r="D50" s="1"/>
      <c r="E50" s="1"/>
      <c r="F50" s="70">
        <f>F29</f>
        <v>60477.082747400003</v>
      </c>
      <c r="I50" s="9" t="str">
        <f>$I$43</f>
        <v>(-) Capital Expenditures:</v>
      </c>
      <c r="M50" s="61">
        <f>$M$43</f>
        <v>-3027</v>
      </c>
    </row>
    <row r="51" spans="3:13" x14ac:dyDescent="0.25">
      <c r="C51" s="69" t="s">
        <v>85</v>
      </c>
      <c r="F51" s="45">
        <f>200+2275</f>
        <v>2475</v>
      </c>
      <c r="I51" s="53" t="s">
        <v>78</v>
      </c>
      <c r="M51" s="42">
        <v>-2069</v>
      </c>
    </row>
    <row r="52" spans="3:13" x14ac:dyDescent="0.25">
      <c r="C52" s="15" t="s">
        <v>83</v>
      </c>
      <c r="D52" s="15"/>
      <c r="E52" s="15"/>
      <c r="F52" s="54">
        <f>SUM(F50:F51)</f>
        <v>62952.082747400003</v>
      </c>
      <c r="I52" s="53" t="s">
        <v>79</v>
      </c>
      <c r="L52" s="68"/>
      <c r="M52" s="55">
        <v>1739</v>
      </c>
    </row>
    <row r="53" spans="3:13" x14ac:dyDescent="0.25">
      <c r="I53" s="15" t="s">
        <v>80</v>
      </c>
      <c r="J53" s="16"/>
      <c r="K53" s="16"/>
      <c r="M53" s="63">
        <f>SUM(M46:M52)</f>
        <v>3556</v>
      </c>
    </row>
    <row r="54" spans="3:13" x14ac:dyDescent="0.25">
      <c r="C54" s="96" t="s">
        <v>131</v>
      </c>
      <c r="F54" s="72">
        <f>F50/F33</f>
        <v>0.7742354919525809</v>
      </c>
    </row>
    <row r="55" spans="3:13" x14ac:dyDescent="0.25">
      <c r="F55" s="72"/>
    </row>
    <row r="56" spans="3:13" x14ac:dyDescent="0.25">
      <c r="C56" s="96" t="s">
        <v>132</v>
      </c>
      <c r="F56" s="72">
        <f>F50/F37</f>
        <v>12.983487064705884</v>
      </c>
    </row>
    <row r="57" spans="3:13" x14ac:dyDescent="0.25">
      <c r="C57" s="96" t="s">
        <v>133</v>
      </c>
      <c r="F57" s="72">
        <f>F50/F39</f>
        <v>8.3278825044615807</v>
      </c>
    </row>
    <row r="58" spans="3:13" x14ac:dyDescent="0.25">
      <c r="C58" s="96" t="s">
        <v>134</v>
      </c>
      <c r="F58" s="72">
        <f>F52/F42</f>
        <v>8.3535141649946922</v>
      </c>
    </row>
    <row r="59" spans="3:13" x14ac:dyDescent="0.25">
      <c r="F59" s="72"/>
    </row>
    <row r="60" spans="3:13" x14ac:dyDescent="0.25">
      <c r="C60" s="96" t="s">
        <v>135</v>
      </c>
      <c r="F60" s="72">
        <f>F48/F44</f>
        <v>15.170334275741817</v>
      </c>
    </row>
    <row r="61" spans="3:13" x14ac:dyDescent="0.25">
      <c r="F61" s="72"/>
    </row>
    <row r="62" spans="3:13" x14ac:dyDescent="0.25">
      <c r="C62" s="96" t="s">
        <v>136</v>
      </c>
      <c r="F62" s="72">
        <f>F48/M35</f>
        <v>12.178738395726915</v>
      </c>
    </row>
    <row r="63" spans="3:13" x14ac:dyDescent="0.25">
      <c r="C63" s="96" t="s">
        <v>138</v>
      </c>
      <c r="F63" s="72">
        <f>F50/M44</f>
        <v>14.229098297366738</v>
      </c>
    </row>
    <row r="64" spans="3:13" x14ac:dyDescent="0.25">
      <c r="C64" s="96" t="s">
        <v>137</v>
      </c>
      <c r="F64" s="72">
        <f>F48/M53</f>
        <v>13.945956903093364</v>
      </c>
    </row>
  </sheetData>
  <pageMargins left="0.7" right="0.7" top="0.75" bottom="0.75" header="0.3" footer="0.3"/>
  <pageSetup scale="4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2:N66"/>
  <sheetViews>
    <sheetView showGridLines="0" zoomScaleNormal="100" workbookViewId="0">
      <selection activeCell="B2" sqref="B2"/>
    </sheetView>
  </sheetViews>
  <sheetFormatPr defaultRowHeight="15.75" x14ac:dyDescent="0.25"/>
  <cols>
    <col min="1" max="2" width="2.7109375" style="2" customWidth="1"/>
    <col min="3" max="5" width="15.7109375" style="2" customWidth="1"/>
    <col min="6" max="6" width="18.7109375" style="2" customWidth="1"/>
    <col min="7" max="8" width="2.7109375" style="2" customWidth="1"/>
    <col min="9" max="13" width="14.7109375" style="2" customWidth="1"/>
    <col min="14" max="15" width="2.7109375" style="2" customWidth="1"/>
    <col min="16" max="16384" width="9.140625" style="2"/>
  </cols>
  <sheetData>
    <row r="2" spans="2:14" ht="18.75" x14ac:dyDescent="0.3">
      <c r="B2" s="20" t="str">
        <f>Company_Name&amp;" - Equity Value and Enterprise Value"</f>
        <v>Vivendi SA - Equity Value and Enterprise Value</v>
      </c>
    </row>
    <row r="3" spans="2:14" x14ac:dyDescent="0.25">
      <c r="B3" s="2" t="s">
        <v>25</v>
      </c>
    </row>
    <row r="5" spans="2:14" x14ac:dyDescent="0.25">
      <c r="B5" s="21" t="str">
        <f>Company_Name&amp;" - Equity Value Calculation:"</f>
        <v>Vivendi SA - Equity Value Calculation:</v>
      </c>
      <c r="C5" s="22"/>
      <c r="D5" s="22"/>
      <c r="E5" s="22"/>
      <c r="F5" s="22"/>
      <c r="H5" s="21" t="s">
        <v>13</v>
      </c>
      <c r="I5" s="22"/>
      <c r="J5" s="22"/>
      <c r="K5" s="22"/>
      <c r="L5" s="22"/>
      <c r="M5" s="22"/>
    </row>
    <row r="6" spans="2:14" x14ac:dyDescent="0.25">
      <c r="B6" s="3"/>
      <c r="C6" s="4"/>
      <c r="D6" s="4"/>
      <c r="E6" s="4"/>
      <c r="F6" s="4"/>
    </row>
    <row r="7" spans="2:14" x14ac:dyDescent="0.25">
      <c r="B7" s="3"/>
      <c r="C7" s="2" t="s">
        <v>16</v>
      </c>
      <c r="F7" s="5" t="s">
        <v>17</v>
      </c>
      <c r="I7" s="1" t="s">
        <v>14</v>
      </c>
    </row>
    <row r="8" spans="2:14" x14ac:dyDescent="0.25">
      <c r="C8" s="2" t="s">
        <v>18</v>
      </c>
      <c r="F8" s="5" t="s">
        <v>19</v>
      </c>
      <c r="I8" s="1"/>
    </row>
    <row r="9" spans="2:14" x14ac:dyDescent="0.25">
      <c r="C9" s="4" t="s">
        <v>1</v>
      </c>
      <c r="D9" s="4"/>
      <c r="E9" s="4"/>
      <c r="F9" s="6">
        <v>43910</v>
      </c>
      <c r="I9" s="23"/>
      <c r="J9" s="23"/>
      <c r="K9" s="24" t="s">
        <v>3</v>
      </c>
      <c r="L9" s="24" t="s">
        <v>2</v>
      </c>
      <c r="M9" s="23"/>
      <c r="N9" s="8"/>
    </row>
    <row r="10" spans="2:14" x14ac:dyDescent="0.25">
      <c r="C10" s="2" t="s">
        <v>0</v>
      </c>
      <c r="F10" s="7">
        <v>19.36</v>
      </c>
      <c r="I10" s="25" t="s">
        <v>11</v>
      </c>
      <c r="J10" s="22"/>
      <c r="K10" s="25" t="s">
        <v>4</v>
      </c>
      <c r="L10" s="25" t="s">
        <v>9</v>
      </c>
      <c r="M10" s="25" t="s">
        <v>10</v>
      </c>
    </row>
    <row r="11" spans="2:14" x14ac:dyDescent="0.25">
      <c r="C11" s="2" t="s">
        <v>8</v>
      </c>
      <c r="F11" s="26">
        <v>1170.5999999999999</v>
      </c>
      <c r="I11" s="9" t="s">
        <v>20</v>
      </c>
      <c r="K11" s="10">
        <v>0.80100000000000005</v>
      </c>
      <c r="L11" s="50">
        <v>11.9</v>
      </c>
      <c r="M11" s="11">
        <f>IF(L11&gt;Share_Price,0,K11-K11*L11/Share_Price)</f>
        <v>0.30864979338842979</v>
      </c>
    </row>
    <row r="12" spans="2:14" x14ac:dyDescent="0.25">
      <c r="C12" s="2" t="s">
        <v>6</v>
      </c>
      <c r="F12" s="27">
        <f>Basic_Shares+M16+M23+M31</f>
        <v>1171.2505568181816</v>
      </c>
      <c r="I12" s="9" t="s">
        <v>21</v>
      </c>
      <c r="K12" s="12">
        <v>1.21</v>
      </c>
      <c r="L12" s="51">
        <v>15.8</v>
      </c>
      <c r="M12" s="11">
        <f>IF(L12&gt;Share_Price,0,K12-K12*L12/Share_Price)</f>
        <v>0.22250000000000003</v>
      </c>
    </row>
    <row r="13" spans="2:14" x14ac:dyDescent="0.25">
      <c r="C13" s="46" t="s">
        <v>56</v>
      </c>
      <c r="F13" s="49">
        <v>0.24</v>
      </c>
      <c r="I13" s="9" t="s">
        <v>22</v>
      </c>
      <c r="K13" s="12">
        <v>1.4E-2</v>
      </c>
      <c r="L13" s="51">
        <v>16.7</v>
      </c>
      <c r="M13" s="11">
        <f>IF(L13&gt;Share_Price,0,K13-K13*L13/Share_Price)</f>
        <v>1.9235537190082641E-3</v>
      </c>
    </row>
    <row r="14" spans="2:14" x14ac:dyDescent="0.25">
      <c r="I14" s="9" t="s">
        <v>23</v>
      </c>
      <c r="K14" s="12">
        <v>1.0529999999999999</v>
      </c>
      <c r="L14" s="51">
        <v>17.2</v>
      </c>
      <c r="M14" s="11">
        <f>IF(L14&gt;Share_Price,0,K14-K14*L14/Share_Price)</f>
        <v>0.11748347107438006</v>
      </c>
    </row>
    <row r="15" spans="2:14" x14ac:dyDescent="0.25">
      <c r="C15" s="1" t="s">
        <v>15</v>
      </c>
      <c r="F15" s="14">
        <f>Share_Price*Basic_Shares</f>
        <v>22662.815999999999</v>
      </c>
      <c r="I15" s="9" t="s">
        <v>24</v>
      </c>
      <c r="K15" s="12">
        <v>0</v>
      </c>
      <c r="L15" s="51">
        <v>0</v>
      </c>
      <c r="M15" s="11">
        <f>IF(L15&gt;Share_Price,0,K15-K15*L15/Share_Price)</f>
        <v>0</v>
      </c>
    </row>
    <row r="16" spans="2:14" x14ac:dyDescent="0.25">
      <c r="I16" s="15" t="s">
        <v>5</v>
      </c>
      <c r="J16" s="16"/>
      <c r="K16" s="17">
        <f>SUM(K11:K15)</f>
        <v>3.0779999999999998</v>
      </c>
      <c r="L16" s="16"/>
      <c r="M16" s="17">
        <f>SUM(M11:M15)</f>
        <v>0.6505568181818181</v>
      </c>
    </row>
    <row r="17" spans="3:14" x14ac:dyDescent="0.25">
      <c r="C17" s="1" t="s">
        <v>7</v>
      </c>
      <c r="F17" s="14">
        <f>Share_Price*Diluted_Shares</f>
        <v>22675.410779999995</v>
      </c>
      <c r="I17" s="9"/>
      <c r="K17" s="12"/>
      <c r="L17" s="13"/>
      <c r="M17" s="11"/>
    </row>
    <row r="18" spans="3:14" x14ac:dyDescent="0.25">
      <c r="C18" s="39" t="s">
        <v>44</v>
      </c>
      <c r="F18" s="42">
        <v>-2130</v>
      </c>
      <c r="I18" s="1" t="s">
        <v>12</v>
      </c>
    </row>
    <row r="19" spans="3:14" x14ac:dyDescent="0.25">
      <c r="C19" s="39" t="s">
        <v>45</v>
      </c>
      <c r="F19" s="45">
        <f>-2263-255</f>
        <v>-2518</v>
      </c>
      <c r="I19" s="1"/>
    </row>
    <row r="20" spans="3:14" x14ac:dyDescent="0.25">
      <c r="C20" s="39" t="s">
        <v>46</v>
      </c>
      <c r="F20" s="42">
        <v>-3520</v>
      </c>
      <c r="I20" s="23"/>
      <c r="J20" s="23"/>
      <c r="K20" s="24" t="s">
        <v>3</v>
      </c>
      <c r="L20" s="24" t="s">
        <v>2</v>
      </c>
      <c r="M20" s="23"/>
    </row>
    <row r="21" spans="3:14" x14ac:dyDescent="0.25">
      <c r="C21" s="39" t="s">
        <v>47</v>
      </c>
      <c r="F21" s="42">
        <v>0</v>
      </c>
      <c r="I21" s="25" t="s">
        <v>11</v>
      </c>
      <c r="J21" s="22"/>
      <c r="K21" s="25" t="s">
        <v>4</v>
      </c>
      <c r="L21" s="25" t="s">
        <v>9</v>
      </c>
      <c r="M21" s="25" t="s">
        <v>10</v>
      </c>
    </row>
    <row r="22" spans="3:14" x14ac:dyDescent="0.25">
      <c r="C22" s="39" t="s">
        <v>48</v>
      </c>
      <c r="F22" s="42">
        <v>0</v>
      </c>
      <c r="I22" s="9" t="s">
        <v>12</v>
      </c>
      <c r="K22" s="12">
        <v>0</v>
      </c>
      <c r="L22" s="51"/>
      <c r="M22" s="11">
        <f>K22</f>
        <v>0</v>
      </c>
    </row>
    <row r="23" spans="3:14" x14ac:dyDescent="0.25">
      <c r="C23" s="39" t="s">
        <v>49</v>
      </c>
      <c r="F23" s="45">
        <f>5160+1777+(6512-6398)</f>
        <v>7051</v>
      </c>
      <c r="I23" s="15" t="s">
        <v>5</v>
      </c>
      <c r="J23" s="16"/>
      <c r="K23" s="17">
        <f>SUM(K22:K22)</f>
        <v>0</v>
      </c>
      <c r="L23" s="17"/>
      <c r="M23" s="17">
        <f>SUM(M22:M22)</f>
        <v>0</v>
      </c>
    </row>
    <row r="24" spans="3:14" x14ac:dyDescent="0.25">
      <c r="C24" s="39" t="s">
        <v>50</v>
      </c>
      <c r="F24" s="42">
        <v>0</v>
      </c>
      <c r="I24" s="3"/>
      <c r="J24" s="4"/>
      <c r="K24" s="19"/>
      <c r="L24" s="19"/>
      <c r="M24" s="19"/>
    </row>
    <row r="25" spans="3:14" x14ac:dyDescent="0.25">
      <c r="C25" s="39" t="s">
        <v>55</v>
      </c>
      <c r="F25" s="45">
        <f>1223+236</f>
        <v>1459</v>
      </c>
    </row>
    <row r="26" spans="3:14" x14ac:dyDescent="0.25">
      <c r="C26" s="39" t="s">
        <v>51</v>
      </c>
      <c r="F26" s="42">
        <v>222</v>
      </c>
      <c r="I26" s="1" t="s">
        <v>32</v>
      </c>
    </row>
    <row r="27" spans="3:14" x14ac:dyDescent="0.25">
      <c r="C27" s="39" t="s">
        <v>52</v>
      </c>
      <c r="F27" s="42">
        <v>807</v>
      </c>
      <c r="N27" s="19">
        <f>SUM(M22:M30)</f>
        <v>0</v>
      </c>
    </row>
    <row r="28" spans="3:14" x14ac:dyDescent="0.25">
      <c r="C28" s="40" t="s">
        <v>53</v>
      </c>
      <c r="D28" s="41"/>
      <c r="E28" s="41"/>
      <c r="F28" s="43">
        <v>0</v>
      </c>
      <c r="I28" s="23"/>
      <c r="J28" s="23"/>
      <c r="K28" s="24" t="s">
        <v>3</v>
      </c>
      <c r="L28" s="24" t="s">
        <v>2</v>
      </c>
      <c r="M28" s="23"/>
    </row>
    <row r="29" spans="3:14" x14ac:dyDescent="0.25">
      <c r="C29" s="3" t="s">
        <v>54</v>
      </c>
      <c r="F29" s="44">
        <f>SUM(F17:F28)</f>
        <v>24046.410779999995</v>
      </c>
      <c r="I29" s="25" t="s">
        <v>11</v>
      </c>
      <c r="J29" s="22"/>
      <c r="K29" s="25" t="s">
        <v>4</v>
      </c>
      <c r="L29" s="25" t="s">
        <v>9</v>
      </c>
      <c r="M29" s="25" t="s">
        <v>10</v>
      </c>
    </row>
    <row r="30" spans="3:14" x14ac:dyDescent="0.25">
      <c r="I30" s="32" t="s">
        <v>29</v>
      </c>
      <c r="K30" s="12"/>
      <c r="L30" s="51"/>
      <c r="M30" s="33"/>
    </row>
    <row r="31" spans="3:14" x14ac:dyDescent="0.25">
      <c r="I31" s="15" t="s">
        <v>5</v>
      </c>
      <c r="J31" s="16"/>
      <c r="K31" s="17">
        <f>SUM(K30:K30)</f>
        <v>0</v>
      </c>
      <c r="L31" s="16"/>
      <c r="M31" s="17">
        <f>SUM(M30:M30)</f>
        <v>0</v>
      </c>
    </row>
    <row r="33" spans="2:13" x14ac:dyDescent="0.25">
      <c r="B33" s="21" t="s">
        <v>68</v>
      </c>
      <c r="C33" s="22"/>
      <c r="D33" s="22"/>
      <c r="E33" s="22"/>
      <c r="F33" s="22"/>
      <c r="H33" s="21" t="s">
        <v>72</v>
      </c>
      <c r="I33" s="22"/>
      <c r="J33" s="22"/>
      <c r="K33" s="22"/>
      <c r="L33" s="22"/>
      <c r="M33" s="22"/>
    </row>
    <row r="35" spans="2:13" x14ac:dyDescent="0.25">
      <c r="C35" s="1" t="s">
        <v>62</v>
      </c>
      <c r="F35" s="59">
        <v>15898</v>
      </c>
      <c r="I35" s="52" t="s">
        <v>69</v>
      </c>
      <c r="M35" s="65">
        <f>1268-46-43</f>
        <v>1179</v>
      </c>
    </row>
    <row r="36" spans="2:13" x14ac:dyDescent="0.25">
      <c r="I36" s="53" t="s">
        <v>70</v>
      </c>
      <c r="L36" s="68"/>
      <c r="M36" s="42">
        <v>-413</v>
      </c>
    </row>
    <row r="37" spans="2:13" x14ac:dyDescent="0.25">
      <c r="C37" s="52" t="s">
        <v>57</v>
      </c>
      <c r="F37" s="42">
        <v>1381</v>
      </c>
      <c r="I37" s="15" t="s">
        <v>71</v>
      </c>
      <c r="J37" s="16"/>
      <c r="K37" s="16"/>
      <c r="M37" s="54">
        <f>SUM(M35:M36)</f>
        <v>766</v>
      </c>
    </row>
    <row r="38" spans="2:13" x14ac:dyDescent="0.25">
      <c r="C38" s="53" t="s">
        <v>58</v>
      </c>
      <c r="F38" s="43">
        <v>0</v>
      </c>
    </row>
    <row r="39" spans="2:13" x14ac:dyDescent="0.25">
      <c r="C39" s="15" t="s">
        <v>59</v>
      </c>
      <c r="D39" s="16"/>
      <c r="E39" s="16"/>
      <c r="F39" s="54">
        <f>SUM(F37:F38)</f>
        <v>1381</v>
      </c>
      <c r="I39" s="3" t="s">
        <v>59</v>
      </c>
      <c r="J39" s="4"/>
      <c r="K39" s="4"/>
      <c r="M39" s="57">
        <f>F39</f>
        <v>1381</v>
      </c>
    </row>
    <row r="40" spans="2:13" x14ac:dyDescent="0.25">
      <c r="C40" s="53" t="s">
        <v>60</v>
      </c>
      <c r="F40" s="60">
        <f>239+220+140+125</f>
        <v>724</v>
      </c>
      <c r="I40" s="53" t="s">
        <v>73</v>
      </c>
      <c r="L40" s="68"/>
      <c r="M40" s="43">
        <v>-43</v>
      </c>
    </row>
    <row r="41" spans="2:13" x14ac:dyDescent="0.25">
      <c r="C41" s="15" t="s">
        <v>61</v>
      </c>
      <c r="D41" s="16"/>
      <c r="E41" s="16"/>
      <c r="F41" s="54">
        <f>SUM(F39:F40)</f>
        <v>2105</v>
      </c>
      <c r="I41" s="15" t="s">
        <v>65</v>
      </c>
      <c r="J41" s="16"/>
      <c r="K41" s="16"/>
      <c r="M41" s="57">
        <f>SUM(M39:M40)*(1-Tax_Rate)</f>
        <v>1016.88</v>
      </c>
    </row>
    <row r="42" spans="2:13" x14ac:dyDescent="0.25">
      <c r="C42" s="53" t="s">
        <v>64</v>
      </c>
      <c r="F42" s="42">
        <v>0</v>
      </c>
      <c r="I42" s="53" t="str">
        <f>$C$40</f>
        <v>(+) D&amp;A from Cash Flow Statement:</v>
      </c>
      <c r="M42" s="61">
        <f>$F$40</f>
        <v>724</v>
      </c>
    </row>
    <row r="43" spans="2:13" x14ac:dyDescent="0.25">
      <c r="C43" s="53" t="s">
        <v>67</v>
      </c>
      <c r="F43" s="43">
        <v>0</v>
      </c>
      <c r="I43" s="53" t="s">
        <v>74</v>
      </c>
      <c r="M43" s="45">
        <f>-283-140</f>
        <v>-423</v>
      </c>
    </row>
    <row r="44" spans="2:13" x14ac:dyDescent="0.25">
      <c r="C44" s="15" t="s">
        <v>63</v>
      </c>
      <c r="D44" s="16"/>
      <c r="E44" s="16"/>
      <c r="F44" s="54">
        <f>SUM(F41:F43)</f>
        <v>2105</v>
      </c>
      <c r="I44" s="53" t="s">
        <v>75</v>
      </c>
      <c r="M44" s="45">
        <f>-676+67+30</f>
        <v>-579</v>
      </c>
    </row>
    <row r="45" spans="2:13" x14ac:dyDescent="0.25">
      <c r="I45" s="53" t="str">
        <f>$I$36</f>
        <v>(-) Capital Expenditures:</v>
      </c>
      <c r="L45" s="41"/>
      <c r="M45" s="61">
        <f>$M$36</f>
        <v>-413</v>
      </c>
    </row>
    <row r="46" spans="2:13" x14ac:dyDescent="0.25">
      <c r="C46" s="1" t="s">
        <v>66</v>
      </c>
      <c r="F46" s="59">
        <v>1583</v>
      </c>
      <c r="I46" s="15" t="s">
        <v>76</v>
      </c>
      <c r="J46" s="16"/>
      <c r="K46" s="16"/>
      <c r="M46" s="54">
        <f>SUM(M41:M45)</f>
        <v>325.88000000000011</v>
      </c>
    </row>
    <row r="48" spans="2:13" x14ac:dyDescent="0.25">
      <c r="B48" s="21" t="s">
        <v>81</v>
      </c>
      <c r="C48" s="22"/>
      <c r="D48" s="22"/>
      <c r="E48" s="22"/>
      <c r="F48" s="22"/>
      <c r="I48" s="1" t="s">
        <v>77</v>
      </c>
      <c r="M48" s="57">
        <f>F46</f>
        <v>1583</v>
      </c>
    </row>
    <row r="49" spans="3:13" x14ac:dyDescent="0.25">
      <c r="I49" s="53" t="str">
        <f>$I$42</f>
        <v>(+) D&amp;A from Cash Flow Statement:</v>
      </c>
      <c r="M49" s="61">
        <f>$M$42</f>
        <v>724</v>
      </c>
    </row>
    <row r="50" spans="3:13" x14ac:dyDescent="0.25">
      <c r="C50" s="1" t="s">
        <v>84</v>
      </c>
      <c r="D50" s="1"/>
      <c r="E50" s="1"/>
      <c r="F50" s="44">
        <f>F17</f>
        <v>22675.410779999995</v>
      </c>
      <c r="I50" s="9" t="str">
        <f>$I$43</f>
        <v>(+/-) Deferred Income Taxes:</v>
      </c>
      <c r="M50" s="61">
        <f>$M$43</f>
        <v>-423</v>
      </c>
    </row>
    <row r="51" spans="3:13" x14ac:dyDescent="0.25">
      <c r="I51" s="9" t="str">
        <f>$I$44</f>
        <v>(+/-) Change in Working Capital:</v>
      </c>
      <c r="M51" s="61">
        <f>$M$44</f>
        <v>-579</v>
      </c>
    </row>
    <row r="52" spans="3:13" x14ac:dyDescent="0.25">
      <c r="C52" s="1" t="s">
        <v>82</v>
      </c>
      <c r="D52" s="1"/>
      <c r="E52" s="1"/>
      <c r="F52" s="70">
        <f>F54-F53</f>
        <v>22587.410779999995</v>
      </c>
      <c r="I52" s="9" t="str">
        <f>$I$45</f>
        <v>(-) Capital Expenditures:</v>
      </c>
      <c r="M52" s="61">
        <f>$M$45</f>
        <v>-413</v>
      </c>
    </row>
    <row r="53" spans="3:13" x14ac:dyDescent="0.25">
      <c r="C53" s="69" t="s">
        <v>85</v>
      </c>
      <c r="F53" s="45">
        <f>F25</f>
        <v>1459</v>
      </c>
      <c r="I53" s="53" t="s">
        <v>78</v>
      </c>
      <c r="M53" s="45">
        <f>-6-787</f>
        <v>-793</v>
      </c>
    </row>
    <row r="54" spans="3:13" x14ac:dyDescent="0.25">
      <c r="C54" s="15" t="s">
        <v>83</v>
      </c>
      <c r="D54" s="15"/>
      <c r="E54" s="15"/>
      <c r="F54" s="54">
        <f>F29</f>
        <v>24046.410779999995</v>
      </c>
      <c r="I54" s="53" t="s">
        <v>79</v>
      </c>
      <c r="L54" s="68"/>
      <c r="M54" s="67">
        <f>2101+870</f>
        <v>2971</v>
      </c>
    </row>
    <row r="55" spans="3:13" x14ac:dyDescent="0.25">
      <c r="I55" s="15" t="s">
        <v>80</v>
      </c>
      <c r="J55" s="16"/>
      <c r="K55" s="16"/>
      <c r="M55" s="66">
        <f>SUM(M48:M54)</f>
        <v>3070</v>
      </c>
    </row>
    <row r="56" spans="3:13" x14ac:dyDescent="0.25">
      <c r="C56" s="96" t="s">
        <v>139</v>
      </c>
      <c r="F56" s="72">
        <f>F54/F35</f>
        <v>1.5125431362435524</v>
      </c>
    </row>
    <row r="57" spans="3:13" x14ac:dyDescent="0.25">
      <c r="F57" s="72"/>
    </row>
    <row r="58" spans="3:13" x14ac:dyDescent="0.25">
      <c r="C58" s="96" t="s">
        <v>140</v>
      </c>
      <c r="F58" s="73" t="s">
        <v>86</v>
      </c>
    </row>
    <row r="59" spans="3:13" x14ac:dyDescent="0.25">
      <c r="C59" s="96" t="s">
        <v>141</v>
      </c>
      <c r="F59" s="72">
        <f>F54/F41</f>
        <v>11.423473054631826</v>
      </c>
    </row>
    <row r="60" spans="3:13" x14ac:dyDescent="0.25">
      <c r="C60" s="96" t="s">
        <v>134</v>
      </c>
      <c r="F60" s="72">
        <f>F54/F44</f>
        <v>11.423473054631826</v>
      </c>
    </row>
    <row r="61" spans="3:13" x14ac:dyDescent="0.25">
      <c r="F61" s="72"/>
    </row>
    <row r="62" spans="3:13" x14ac:dyDescent="0.25">
      <c r="C62" s="96" t="s">
        <v>135</v>
      </c>
      <c r="F62" s="72">
        <f>F50/F46</f>
        <v>14.324327719519896</v>
      </c>
    </row>
    <row r="63" spans="3:13" x14ac:dyDescent="0.25">
      <c r="F63" s="72"/>
    </row>
    <row r="64" spans="3:13" x14ac:dyDescent="0.25">
      <c r="C64" s="96" t="s">
        <v>136</v>
      </c>
      <c r="F64" s="72">
        <f>F50/M37</f>
        <v>29.602363942558739</v>
      </c>
    </row>
    <row r="65" spans="3:6" x14ac:dyDescent="0.25">
      <c r="C65" s="96" t="s">
        <v>138</v>
      </c>
      <c r="F65" s="72">
        <f>F52/M46</f>
        <v>69.312049772922506</v>
      </c>
    </row>
    <row r="66" spans="3:6" x14ac:dyDescent="0.25">
      <c r="C66" s="96" t="s">
        <v>137</v>
      </c>
      <c r="F66" s="72">
        <f>F50/M55</f>
        <v>7.3861272899022783</v>
      </c>
    </row>
  </sheetData>
  <pageMargins left="0.7" right="0.7" top="0.75" bottom="0.75" header="0.3" footer="0.3"/>
  <pageSetup scale="41" orientation="portrait" r:id="rId1"/>
  <ignoredErrors>
    <ignoredError sqref="F40"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C47C8-4A29-41CF-AFF3-9B436C2D3500}">
  <sheetPr>
    <pageSetUpPr autoPageBreaks="0"/>
  </sheetPr>
  <dimension ref="B2:N78"/>
  <sheetViews>
    <sheetView showGridLines="0" zoomScaleNormal="100" workbookViewId="0">
      <selection activeCell="B2" sqref="B2"/>
    </sheetView>
  </sheetViews>
  <sheetFormatPr defaultRowHeight="15.75" x14ac:dyDescent="0.25"/>
  <cols>
    <col min="1" max="2" width="2.7109375" style="2" customWidth="1"/>
    <col min="3" max="5" width="15.7109375" style="2" customWidth="1"/>
    <col min="6" max="6" width="18.7109375" style="2" bestFit="1" customWidth="1"/>
    <col min="7" max="8" width="2.7109375" style="2" customWidth="1"/>
    <col min="9" max="13" width="14.7109375" style="2" customWidth="1"/>
    <col min="14" max="15" width="2.7109375" style="2" customWidth="1"/>
    <col min="16" max="16384" width="9.140625" style="2"/>
  </cols>
  <sheetData>
    <row r="2" spans="2:14" ht="18.75" x14ac:dyDescent="0.3">
      <c r="B2" s="20" t="str">
        <f>Company_Name&amp;" - Equity Value and Enterprise Valu"</f>
        <v>Zendesk Inc - Equity Value and Enterprise Valu</v>
      </c>
    </row>
    <row r="3" spans="2:14" x14ac:dyDescent="0.25">
      <c r="B3" s="2" t="s">
        <v>28</v>
      </c>
    </row>
    <row r="5" spans="2:14" x14ac:dyDescent="0.25">
      <c r="B5" s="21" t="str">
        <f>Company_Name&amp;" - Equity Value Calculation:"</f>
        <v>Zendesk Inc - Equity Value Calculation:</v>
      </c>
      <c r="C5" s="22"/>
      <c r="D5" s="22"/>
      <c r="E5" s="22"/>
      <c r="F5" s="22"/>
      <c r="H5" s="21" t="s">
        <v>13</v>
      </c>
      <c r="I5" s="22"/>
      <c r="J5" s="22"/>
      <c r="K5" s="22"/>
      <c r="L5" s="22"/>
      <c r="M5" s="22"/>
    </row>
    <row r="6" spans="2:14" x14ac:dyDescent="0.25">
      <c r="B6" s="3"/>
      <c r="C6" s="4"/>
      <c r="D6" s="4"/>
      <c r="E6" s="4"/>
      <c r="F6" s="4"/>
    </row>
    <row r="7" spans="2:14" x14ac:dyDescent="0.25">
      <c r="B7" s="3"/>
      <c r="C7" s="2" t="s">
        <v>16</v>
      </c>
      <c r="F7" s="5" t="s">
        <v>33</v>
      </c>
      <c r="I7" s="1" t="s">
        <v>14</v>
      </c>
    </row>
    <row r="8" spans="2:14" x14ac:dyDescent="0.25">
      <c r="C8" s="2" t="s">
        <v>18</v>
      </c>
      <c r="F8" s="5" t="s">
        <v>34</v>
      </c>
      <c r="I8" s="1"/>
    </row>
    <row r="9" spans="2:14" x14ac:dyDescent="0.25">
      <c r="C9" s="4" t="s">
        <v>1</v>
      </c>
      <c r="D9" s="4"/>
      <c r="E9" s="4"/>
      <c r="F9" s="6">
        <v>43910</v>
      </c>
      <c r="I9" s="23"/>
      <c r="J9" s="23"/>
      <c r="K9" s="24" t="s">
        <v>3</v>
      </c>
      <c r="L9" s="24" t="s">
        <v>2</v>
      </c>
      <c r="M9" s="23"/>
      <c r="N9" s="8"/>
    </row>
    <row r="10" spans="2:14" x14ac:dyDescent="0.25">
      <c r="C10" s="2" t="s">
        <v>0</v>
      </c>
      <c r="F10" s="29">
        <v>56.88</v>
      </c>
      <c r="I10" s="25" t="s">
        <v>11</v>
      </c>
      <c r="J10" s="22"/>
      <c r="K10" s="25" t="s">
        <v>4</v>
      </c>
      <c r="L10" s="25" t="s">
        <v>9</v>
      </c>
      <c r="M10" s="25" t="s">
        <v>10</v>
      </c>
    </row>
    <row r="11" spans="2:14" x14ac:dyDescent="0.25">
      <c r="C11" s="2" t="s">
        <v>8</v>
      </c>
      <c r="F11" s="26">
        <v>113.351292</v>
      </c>
      <c r="I11" s="9" t="s">
        <v>31</v>
      </c>
      <c r="K11" s="10">
        <v>3.661</v>
      </c>
      <c r="L11" s="31">
        <v>18.3</v>
      </c>
      <c r="M11" s="11">
        <f>IF(L11&gt;Share_Price,0,K11-K11*L11/Share_Price)</f>
        <v>2.4831466244725737</v>
      </c>
    </row>
    <row r="12" spans="2:14" x14ac:dyDescent="0.25">
      <c r="C12" s="2" t="s">
        <v>6</v>
      </c>
      <c r="F12" s="27">
        <f>Basic_Shares+M12+M19+M26+M43</f>
        <v>121.19543862447257</v>
      </c>
      <c r="I12" s="15" t="s">
        <v>5</v>
      </c>
      <c r="J12" s="16"/>
      <c r="K12" s="17">
        <f>SUM(K11)</f>
        <v>3.661</v>
      </c>
      <c r="L12" s="16"/>
      <c r="M12" s="17">
        <f>SUM(M11)</f>
        <v>2.4831466244725737</v>
      </c>
    </row>
    <row r="13" spans="2:14" x14ac:dyDescent="0.25">
      <c r="C13" s="46" t="s">
        <v>56</v>
      </c>
      <c r="F13" s="49">
        <v>0.22</v>
      </c>
      <c r="I13" s="9"/>
      <c r="K13" s="12"/>
      <c r="L13" s="28"/>
      <c r="M13" s="11"/>
    </row>
    <row r="14" spans="2:14" x14ac:dyDescent="0.25">
      <c r="I14" s="1" t="s">
        <v>12</v>
      </c>
    </row>
    <row r="15" spans="2:14" x14ac:dyDescent="0.25">
      <c r="C15" s="1" t="s">
        <v>15</v>
      </c>
      <c r="F15" s="30">
        <f>Share_Price*Basic_Shares</f>
        <v>6447.4214889600007</v>
      </c>
      <c r="I15" s="1"/>
    </row>
    <row r="16" spans="2:14" x14ac:dyDescent="0.25">
      <c r="I16" s="23"/>
      <c r="J16" s="23"/>
      <c r="K16" s="24" t="s">
        <v>3</v>
      </c>
      <c r="L16" s="24" t="s">
        <v>2</v>
      </c>
      <c r="M16" s="23"/>
    </row>
    <row r="17" spans="3:14" x14ac:dyDescent="0.25">
      <c r="C17" s="1" t="s">
        <v>7</v>
      </c>
      <c r="F17" s="30">
        <f>Share_Price*Diluted_Shares</f>
        <v>6893.5965489600003</v>
      </c>
      <c r="I17" s="25" t="s">
        <v>11</v>
      </c>
      <c r="J17" s="22"/>
      <c r="K17" s="25" t="s">
        <v>4</v>
      </c>
      <c r="L17" s="25" t="s">
        <v>9</v>
      </c>
      <c r="M17" s="25" t="s">
        <v>10</v>
      </c>
    </row>
    <row r="18" spans="3:14" x14ac:dyDescent="0.25">
      <c r="C18" s="39" t="s">
        <v>44</v>
      </c>
      <c r="F18" s="42">
        <v>-196.59100000000001</v>
      </c>
      <c r="I18" s="32" t="s">
        <v>30</v>
      </c>
      <c r="K18" s="12">
        <v>0</v>
      </c>
      <c r="L18" s="18"/>
      <c r="M18" s="11">
        <f>K18</f>
        <v>0</v>
      </c>
    </row>
    <row r="19" spans="3:14" x14ac:dyDescent="0.25">
      <c r="C19" s="39" t="s">
        <v>45</v>
      </c>
      <c r="F19" s="45">
        <f>-286.958-361.948</f>
        <v>-648.90599999999995</v>
      </c>
      <c r="I19" s="15" t="s">
        <v>5</v>
      </c>
      <c r="J19" s="16"/>
      <c r="K19" s="17">
        <f>SUM(K18:K18)</f>
        <v>0</v>
      </c>
      <c r="L19" s="17"/>
      <c r="M19" s="17">
        <f>SUM(M18:M18)</f>
        <v>0</v>
      </c>
    </row>
    <row r="20" spans="3:14" x14ac:dyDescent="0.25">
      <c r="C20" s="39" t="s">
        <v>46</v>
      </c>
      <c r="F20" s="42">
        <v>0</v>
      </c>
    </row>
    <row r="21" spans="3:14" x14ac:dyDescent="0.25">
      <c r="C21" s="39" t="s">
        <v>47</v>
      </c>
      <c r="F21" s="42">
        <v>0</v>
      </c>
      <c r="I21" s="1" t="s">
        <v>32</v>
      </c>
    </row>
    <row r="22" spans="3:14" x14ac:dyDescent="0.25">
      <c r="C22" s="39" t="s">
        <v>48</v>
      </c>
      <c r="F22" s="45">
        <f>-230.346*(1-220.777/270.94)</f>
        <v>-42.647251782682517</v>
      </c>
    </row>
    <row r="23" spans="3:14" x14ac:dyDescent="0.25">
      <c r="C23" s="39" t="s">
        <v>49</v>
      </c>
      <c r="F23" s="45">
        <f>IF(M33&gt;0,0,793)</f>
        <v>793</v>
      </c>
      <c r="I23" s="23"/>
      <c r="J23" s="23"/>
      <c r="K23" s="24" t="s">
        <v>3</v>
      </c>
      <c r="L23" s="24" t="s">
        <v>2</v>
      </c>
      <c r="M23" s="23"/>
    </row>
    <row r="24" spans="3:14" x14ac:dyDescent="0.25">
      <c r="C24" s="39" t="s">
        <v>50</v>
      </c>
      <c r="F24" s="42">
        <v>0</v>
      </c>
      <c r="I24" s="25" t="s">
        <v>11</v>
      </c>
      <c r="J24" s="22"/>
      <c r="K24" s="25" t="s">
        <v>4</v>
      </c>
      <c r="L24" s="25" t="s">
        <v>9</v>
      </c>
      <c r="M24" s="25" t="s">
        <v>10</v>
      </c>
    </row>
    <row r="25" spans="3:14" x14ac:dyDescent="0.25">
      <c r="C25" s="39" t="s">
        <v>55</v>
      </c>
      <c r="F25" s="42">
        <v>0</v>
      </c>
      <c r="I25" s="9" t="s">
        <v>29</v>
      </c>
      <c r="K25" s="12">
        <v>5.3609999999999998</v>
      </c>
      <c r="L25" s="13"/>
      <c r="M25" s="11">
        <f>K25</f>
        <v>5.3609999999999998</v>
      </c>
    </row>
    <row r="26" spans="3:14" x14ac:dyDescent="0.25">
      <c r="C26" s="39" t="s">
        <v>51</v>
      </c>
      <c r="F26" s="42">
        <v>0</v>
      </c>
      <c r="I26" s="15" t="s">
        <v>5</v>
      </c>
      <c r="J26" s="16"/>
      <c r="K26" s="17">
        <f>SUM(K25:K25)</f>
        <v>5.3609999999999998</v>
      </c>
      <c r="L26" s="16"/>
      <c r="M26" s="17">
        <f>SUM(M25:M25)</f>
        <v>5.3609999999999998</v>
      </c>
      <c r="N26" s="19">
        <f>SUM(M18:M25)</f>
        <v>5.3609999999999998</v>
      </c>
    </row>
    <row r="27" spans="3:14" x14ac:dyDescent="0.25">
      <c r="C27" s="39" t="s">
        <v>52</v>
      </c>
      <c r="F27" s="42">
        <v>0</v>
      </c>
    </row>
    <row r="28" spans="3:14" x14ac:dyDescent="0.25">
      <c r="C28" s="40" t="s">
        <v>53</v>
      </c>
      <c r="D28" s="41"/>
      <c r="E28" s="41"/>
      <c r="F28" s="43">
        <v>0</v>
      </c>
      <c r="I28" s="1" t="s">
        <v>35</v>
      </c>
    </row>
    <row r="29" spans="3:14" x14ac:dyDescent="0.25">
      <c r="C29" s="3" t="s">
        <v>54</v>
      </c>
      <c r="F29" s="30">
        <f>SUM(F17:F28)</f>
        <v>6798.4522971773176</v>
      </c>
    </row>
    <row r="30" spans="3:14" x14ac:dyDescent="0.25">
      <c r="I30" s="34" t="s">
        <v>43</v>
      </c>
      <c r="M30" s="35">
        <v>575</v>
      </c>
    </row>
    <row r="31" spans="3:14" x14ac:dyDescent="0.25">
      <c r="G31" s="58"/>
      <c r="I31" s="34" t="s">
        <v>42</v>
      </c>
      <c r="M31" s="29">
        <v>63.07</v>
      </c>
    </row>
    <row r="32" spans="3:14" x14ac:dyDescent="0.25">
      <c r="I32" s="34" t="s">
        <v>36</v>
      </c>
      <c r="M32" s="11">
        <f>M30/M31</f>
        <v>9.1168542888853654</v>
      </c>
      <c r="N32" s="4"/>
    </row>
    <row r="33" spans="2:13" x14ac:dyDescent="0.25">
      <c r="I33" s="34" t="s">
        <v>37</v>
      </c>
      <c r="M33" s="11">
        <f>IF(M31&gt;Share_Price,0,M32)</f>
        <v>0</v>
      </c>
    </row>
    <row r="35" spans="2:13" x14ac:dyDescent="0.25">
      <c r="I35" s="34" t="s">
        <v>38</v>
      </c>
      <c r="M35" s="11">
        <f>M32</f>
        <v>9.1168542888853654</v>
      </c>
    </row>
    <row r="36" spans="2:13" x14ac:dyDescent="0.25">
      <c r="I36" s="34" t="s">
        <v>39</v>
      </c>
      <c r="M36" s="36">
        <f>M31</f>
        <v>63.07</v>
      </c>
    </row>
    <row r="38" spans="2:13" x14ac:dyDescent="0.25">
      <c r="I38" s="23"/>
      <c r="J38" s="23"/>
      <c r="K38" s="24" t="s">
        <v>3</v>
      </c>
      <c r="L38" s="24" t="s">
        <v>2</v>
      </c>
      <c r="M38" s="23"/>
    </row>
    <row r="39" spans="2:13" x14ac:dyDescent="0.25">
      <c r="I39" s="25" t="s">
        <v>11</v>
      </c>
      <c r="J39" s="22"/>
      <c r="K39" s="25" t="s">
        <v>4</v>
      </c>
      <c r="L39" s="25" t="s">
        <v>9</v>
      </c>
      <c r="M39" s="25" t="s">
        <v>10</v>
      </c>
    </row>
    <row r="40" spans="2:13" x14ac:dyDescent="0.25">
      <c r="I40" s="37" t="s">
        <v>41</v>
      </c>
      <c r="K40" s="11">
        <f>M35</f>
        <v>9.1168542888853654</v>
      </c>
      <c r="L40" s="31">
        <v>95.2</v>
      </c>
      <c r="M40" s="11">
        <f>IF(L40&gt;Share_Price,0,K40-K40*L40/Share_Price)</f>
        <v>0</v>
      </c>
    </row>
    <row r="41" spans="2:13" x14ac:dyDescent="0.25">
      <c r="I41" s="15" t="s">
        <v>5</v>
      </c>
      <c r="J41" s="16"/>
      <c r="K41" s="17">
        <f>SUM(K40:K40)</f>
        <v>9.1168542888853654</v>
      </c>
      <c r="L41" s="16"/>
      <c r="M41" s="17">
        <f>SUM(M40:M40)</f>
        <v>0</v>
      </c>
    </row>
    <row r="43" spans="2:13" x14ac:dyDescent="0.25">
      <c r="I43" s="1" t="s">
        <v>40</v>
      </c>
      <c r="M43" s="38">
        <f>M33-MIN(M33,M35)+M41</f>
        <v>0</v>
      </c>
    </row>
    <row r="45" spans="2:13" x14ac:dyDescent="0.25">
      <c r="B45" s="21" t="s">
        <v>68</v>
      </c>
      <c r="C45" s="22"/>
      <c r="D45" s="22"/>
      <c r="E45" s="22"/>
      <c r="F45" s="22"/>
      <c r="H45" s="21" t="s">
        <v>72</v>
      </c>
      <c r="I45" s="22"/>
      <c r="J45" s="22"/>
      <c r="K45" s="22"/>
      <c r="L45" s="22"/>
      <c r="M45" s="22"/>
    </row>
    <row r="47" spans="2:13" x14ac:dyDescent="0.25">
      <c r="C47" s="1" t="s">
        <v>62</v>
      </c>
      <c r="F47" s="56">
        <v>816.41600000000005</v>
      </c>
      <c r="I47" s="52" t="s">
        <v>69</v>
      </c>
      <c r="M47" s="62">
        <v>89.260999999999996</v>
      </c>
    </row>
    <row r="48" spans="2:13" x14ac:dyDescent="0.25">
      <c r="I48" s="53" t="s">
        <v>70</v>
      </c>
      <c r="L48" s="68"/>
      <c r="M48" s="45">
        <f>-39.14-7.841</f>
        <v>-46.981000000000002</v>
      </c>
    </row>
    <row r="49" spans="2:13" x14ac:dyDescent="0.25">
      <c r="C49" s="52" t="s">
        <v>57</v>
      </c>
      <c r="F49" s="42">
        <v>-163.00399999999999</v>
      </c>
      <c r="I49" s="15" t="s">
        <v>71</v>
      </c>
      <c r="J49" s="16"/>
      <c r="K49" s="16"/>
      <c r="M49" s="54">
        <f>SUM(M47:M48)</f>
        <v>42.279999999999994</v>
      </c>
    </row>
    <row r="50" spans="2:13" x14ac:dyDescent="0.25">
      <c r="C50" s="53" t="s">
        <v>58</v>
      </c>
      <c r="F50" s="43">
        <v>9</v>
      </c>
      <c r="I50" s="4"/>
      <c r="J50" s="4"/>
      <c r="K50" s="4"/>
      <c r="M50" s="4"/>
    </row>
    <row r="51" spans="2:13" x14ac:dyDescent="0.25">
      <c r="C51" s="15" t="s">
        <v>59</v>
      </c>
      <c r="D51" s="16"/>
      <c r="E51" s="16"/>
      <c r="F51" s="54">
        <f>SUM(F49:F50)</f>
        <v>-154.00399999999999</v>
      </c>
      <c r="I51" s="3" t="s">
        <v>59</v>
      </c>
      <c r="J51" s="4"/>
      <c r="K51" s="4"/>
      <c r="M51" s="57">
        <f>F51</f>
        <v>-154.00399999999999</v>
      </c>
    </row>
    <row r="52" spans="2:13" x14ac:dyDescent="0.25">
      <c r="C52" s="53" t="s">
        <v>60</v>
      </c>
      <c r="F52" s="55">
        <v>38.601999999999997</v>
      </c>
      <c r="I52" s="53" t="s">
        <v>73</v>
      </c>
      <c r="L52" s="68"/>
      <c r="M52" s="43">
        <v>0</v>
      </c>
    </row>
    <row r="53" spans="2:13" x14ac:dyDescent="0.25">
      <c r="C53" s="15" t="s">
        <v>61</v>
      </c>
      <c r="D53" s="16"/>
      <c r="E53" s="16"/>
      <c r="F53" s="54">
        <f>SUM(F51:F52)</f>
        <v>-115.40199999999999</v>
      </c>
      <c r="I53" s="15" t="s">
        <v>65</v>
      </c>
      <c r="J53" s="16"/>
      <c r="K53" s="16"/>
      <c r="M53" s="57">
        <f>SUM(M51:M52)*(1-Tax_Rate)</f>
        <v>-120.12312</v>
      </c>
    </row>
    <row r="54" spans="2:13" x14ac:dyDescent="0.25">
      <c r="C54" s="53" t="s">
        <v>64</v>
      </c>
      <c r="F54" s="45">
        <f>23.54+2.293+6.607</f>
        <v>32.44</v>
      </c>
      <c r="I54" s="53" t="str">
        <f>$C$52</f>
        <v>(+) D&amp;A from Cash Flow Statement:</v>
      </c>
      <c r="M54" s="61">
        <f>$F$52</f>
        <v>38.601999999999997</v>
      </c>
    </row>
    <row r="55" spans="2:13" x14ac:dyDescent="0.25">
      <c r="C55" s="53" t="s">
        <v>67</v>
      </c>
      <c r="F55" s="43">
        <v>-1.968</v>
      </c>
      <c r="I55" s="53" t="s">
        <v>74</v>
      </c>
      <c r="M55" s="42">
        <v>0</v>
      </c>
    </row>
    <row r="56" spans="2:13" x14ac:dyDescent="0.25">
      <c r="C56" s="15" t="s">
        <v>63</v>
      </c>
      <c r="D56" s="16"/>
      <c r="E56" s="16"/>
      <c r="F56" s="54">
        <f>SUM(F53:F55)</f>
        <v>-84.929999999999993</v>
      </c>
      <c r="I56" s="53" t="s">
        <v>75</v>
      </c>
      <c r="M56" s="45">
        <f>-50.061-8.349-49.922+18.94-1.081+22.128+3.259+11.282+78.11-18.868</f>
        <v>5.4379999999999988</v>
      </c>
    </row>
    <row r="57" spans="2:13" x14ac:dyDescent="0.25">
      <c r="I57" s="53" t="str">
        <f>$I$48</f>
        <v>(-) Capital Expenditures:</v>
      </c>
      <c r="L57" s="41"/>
      <c r="M57" s="61">
        <f>$M$48</f>
        <v>-46.981000000000002</v>
      </c>
    </row>
    <row r="58" spans="2:13" x14ac:dyDescent="0.25">
      <c r="C58" s="1" t="s">
        <v>66</v>
      </c>
      <c r="F58" s="56">
        <v>-169.65299999999999</v>
      </c>
      <c r="I58" s="15" t="s">
        <v>76</v>
      </c>
      <c r="J58" s="16"/>
      <c r="K58" s="16"/>
      <c r="M58" s="54">
        <f>SUM(M53:M57)</f>
        <v>-123.06412</v>
      </c>
    </row>
    <row r="60" spans="2:13" x14ac:dyDescent="0.25">
      <c r="B60" s="21" t="s">
        <v>81</v>
      </c>
      <c r="C60" s="22"/>
      <c r="D60" s="22"/>
      <c r="E60" s="22"/>
      <c r="F60" s="22"/>
      <c r="I60" s="1" t="s">
        <v>77</v>
      </c>
      <c r="M60" s="57">
        <f>F58</f>
        <v>-169.65299999999999</v>
      </c>
    </row>
    <row r="61" spans="2:13" x14ac:dyDescent="0.25">
      <c r="I61" s="53" t="str">
        <f>$I$54</f>
        <v>(+) D&amp;A from Cash Flow Statement:</v>
      </c>
      <c r="M61" s="61">
        <f>$M$54</f>
        <v>38.601999999999997</v>
      </c>
    </row>
    <row r="62" spans="2:13" x14ac:dyDescent="0.25">
      <c r="C62" s="1" t="s">
        <v>84</v>
      </c>
      <c r="D62" s="1"/>
      <c r="E62" s="1"/>
      <c r="F62" s="71">
        <f>F17</f>
        <v>6893.5965489600003</v>
      </c>
      <c r="I62" s="9" t="str">
        <f>$I$55</f>
        <v>(+/-) Deferred Income Taxes:</v>
      </c>
      <c r="M62" s="61">
        <f>$M$55</f>
        <v>0</v>
      </c>
    </row>
    <row r="63" spans="2:13" x14ac:dyDescent="0.25">
      <c r="I63" s="9" t="str">
        <f>$I$56</f>
        <v>(+/-) Change in Working Capital:</v>
      </c>
      <c r="M63" s="61">
        <f>$M$56</f>
        <v>5.4379999999999988</v>
      </c>
    </row>
    <row r="64" spans="2:13" x14ac:dyDescent="0.25">
      <c r="C64" s="1" t="s">
        <v>82</v>
      </c>
      <c r="D64" s="1"/>
      <c r="E64" s="1"/>
      <c r="F64" s="70">
        <f>F29</f>
        <v>6798.4522971773176</v>
      </c>
      <c r="I64" s="9" t="str">
        <f>$I$57</f>
        <v>(-) Capital Expenditures:</v>
      </c>
      <c r="M64" s="61">
        <f>$M$57</f>
        <v>-46.981000000000002</v>
      </c>
    </row>
    <row r="65" spans="3:13" x14ac:dyDescent="0.25">
      <c r="C65" s="69" t="s">
        <v>85</v>
      </c>
      <c r="F65" s="45">
        <f>21.804+83.478</f>
        <v>105.282</v>
      </c>
      <c r="I65" s="53" t="s">
        <v>78</v>
      </c>
      <c r="M65" s="42">
        <v>0</v>
      </c>
    </row>
    <row r="66" spans="3:13" x14ac:dyDescent="0.25">
      <c r="C66" s="15" t="s">
        <v>83</v>
      </c>
      <c r="D66" s="15"/>
      <c r="E66" s="15"/>
      <c r="F66" s="54">
        <f>SUM(F64:F65)</f>
        <v>6903.7342971773178</v>
      </c>
      <c r="I66" s="53" t="s">
        <v>79</v>
      </c>
      <c r="L66" s="68"/>
      <c r="M66" s="43">
        <v>0</v>
      </c>
    </row>
    <row r="67" spans="3:13" x14ac:dyDescent="0.25">
      <c r="I67" s="15" t="s">
        <v>80</v>
      </c>
      <c r="J67" s="16"/>
      <c r="K67" s="16"/>
      <c r="M67" s="64">
        <f>SUM(M60:M66)</f>
        <v>-172.59399999999999</v>
      </c>
    </row>
    <row r="68" spans="3:13" x14ac:dyDescent="0.25">
      <c r="C68" s="96" t="s">
        <v>131</v>
      </c>
      <c r="F68" s="72">
        <f>F64/F47</f>
        <v>8.3271914038643509</v>
      </c>
    </row>
    <row r="69" spans="3:13" x14ac:dyDescent="0.25">
      <c r="F69" s="72"/>
    </row>
    <row r="70" spans="3:13" x14ac:dyDescent="0.25">
      <c r="C70" s="96" t="s">
        <v>132</v>
      </c>
      <c r="F70" s="73" t="s">
        <v>86</v>
      </c>
    </row>
    <row r="71" spans="3:13" x14ac:dyDescent="0.25">
      <c r="C71" s="96" t="s">
        <v>133</v>
      </c>
      <c r="F71" s="73" t="s">
        <v>86</v>
      </c>
    </row>
    <row r="72" spans="3:13" x14ac:dyDescent="0.25">
      <c r="C72" s="96" t="s">
        <v>134</v>
      </c>
      <c r="F72" s="73" t="s">
        <v>86</v>
      </c>
    </row>
    <row r="73" spans="3:13" x14ac:dyDescent="0.25">
      <c r="F73" s="72"/>
    </row>
    <row r="74" spans="3:13" x14ac:dyDescent="0.25">
      <c r="C74" s="96" t="s">
        <v>135</v>
      </c>
      <c r="F74" s="73" t="s">
        <v>86</v>
      </c>
    </row>
    <row r="75" spans="3:13" x14ac:dyDescent="0.25">
      <c r="F75" s="72"/>
    </row>
    <row r="76" spans="3:13" x14ac:dyDescent="0.25">
      <c r="C76" s="96" t="s">
        <v>136</v>
      </c>
      <c r="F76" s="73" t="s">
        <v>87</v>
      </c>
    </row>
    <row r="77" spans="3:13" x14ac:dyDescent="0.25">
      <c r="C77" s="96" t="s">
        <v>138</v>
      </c>
      <c r="F77" s="73" t="s">
        <v>86</v>
      </c>
    </row>
    <row r="78" spans="3:13" x14ac:dyDescent="0.25">
      <c r="C78" s="96" t="s">
        <v>137</v>
      </c>
      <c r="F78" s="73" t="s">
        <v>86</v>
      </c>
    </row>
  </sheetData>
  <pageMargins left="0.7" right="0.7" top="0.75" bottom="0.75" header="0.3" footer="0.3"/>
  <pageSetup scale="4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Comps</vt:lpstr>
      <vt:lpstr>TGT</vt:lpstr>
      <vt:lpstr>VIV</vt:lpstr>
      <vt:lpstr>ZEN</vt:lpstr>
      <vt:lpstr>TGT!Basic_Shares</vt:lpstr>
      <vt:lpstr>ZEN!Basic_Shares</vt:lpstr>
      <vt:lpstr>Basic_Shares</vt:lpstr>
      <vt:lpstr>TGT!Company_Name</vt:lpstr>
      <vt:lpstr>ZEN!Company_Name</vt:lpstr>
      <vt:lpstr>Company_Name</vt:lpstr>
      <vt:lpstr>TGT!Diluted_Shares</vt:lpstr>
      <vt:lpstr>ZEN!Diluted_Shares</vt:lpstr>
      <vt:lpstr>Diluted_Shares</vt:lpstr>
      <vt:lpstr>Comps!Print_Area</vt:lpstr>
      <vt:lpstr>TGT!Print_Area</vt:lpstr>
      <vt:lpstr>VIV!Print_Area</vt:lpstr>
      <vt:lpstr>ZEN!Print_Area</vt:lpstr>
      <vt:lpstr>TGT!Share_Price</vt:lpstr>
      <vt:lpstr>ZEN!Share_Price</vt:lpstr>
      <vt:lpstr>Share_Price</vt:lpstr>
      <vt:lpstr>TGT!Tax_Rate</vt:lpstr>
      <vt:lpstr>VIV!Tax_Rate</vt:lpstr>
      <vt:lpstr>ZEN!Tax_Rate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2020-05-08T19:59:50Z</dcterms:modified>
</cp:coreProperties>
</file>