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 (BIWS)\BIWS-All-Courses\40-Interview-Guide-2016-Edition\IBIG-04-Technical-Questions\IBIG-04-04-Equity-Value-Enterprise-Value-Metrics-Multiples\"/>
    </mc:Choice>
  </mc:AlternateContent>
  <bookViews>
    <workbookView xWindow="0" yWindow="0" windowWidth="20250" windowHeight="12975"/>
  </bookViews>
  <sheets>
    <sheet name="Debt-Equity-Enterprise-Value" sheetId="1" r:id="rId1"/>
  </sheets>
  <definedNames>
    <definedName name="Discount_Rate">'Debt-Equity-Enterprise-Value'!$D$17</definedName>
    <definedName name="Equity_Risk_Premium">'Debt-Equity-Enterprise-Value'!$D$12</definedName>
    <definedName name="Num_Years">'Debt-Equity-Enterprise-Value'!$D$9</definedName>
    <definedName name="_xlnm.Print_Area" localSheetId="0">'Debt-Equity-Enterprise-Value'!$A$1:$AJ$40</definedName>
    <definedName name="Risk_Free_Rate">'Debt-Equity-Enterprise-Value'!$D$11</definedName>
    <definedName name="Tax_Rate">'Debt-Equity-Enterprise-Value'!$D$8</definedName>
    <definedName name="Terminal_Growth_Rate">'Debt-Equity-Enterprise-Value'!$N$10</definedName>
    <definedName name="Terminal_Multiple">'Debt-Equity-Enterprise-Value'!$I$10</definedName>
    <definedName name="Unlevered_Beta">'Debt-Equity-Enterprise-Value'!$D$14</definedName>
  </definedNames>
  <calcPr calcId="162913"/>
</workbook>
</file>

<file path=xl/calcChain.xml><?xml version="1.0" encoding="utf-8"?>
<calcChain xmlns="http://schemas.openxmlformats.org/spreadsheetml/2006/main">
  <c r="Z16" i="1" l="1"/>
  <c r="AA16" i="1" s="1"/>
  <c r="Z15" i="1"/>
  <c r="AA15" i="1" s="1"/>
  <c r="Z14" i="1"/>
  <c r="AA14" i="1" s="1"/>
  <c r="Z13" i="1"/>
  <c r="AA13" i="1" s="1"/>
  <c r="Z12" i="1"/>
  <c r="AA12" i="1" s="1"/>
  <c r="Z11" i="1"/>
  <c r="AA11" i="1" s="1"/>
  <c r="Z10" i="1"/>
  <c r="AA10" i="1" s="1"/>
  <c r="Z9" i="1"/>
  <c r="AA9" i="1" s="1"/>
  <c r="Z8" i="1"/>
  <c r="AA8" i="1" s="1"/>
  <c r="U8" i="1"/>
  <c r="U9" i="1" s="1"/>
  <c r="Z7" i="1"/>
  <c r="AA7" i="1" s="1"/>
  <c r="V7" i="1"/>
  <c r="W7" i="1" s="1"/>
  <c r="AC7" i="1" l="1"/>
  <c r="AE7" i="1" s="1"/>
  <c r="V8" i="1"/>
  <c r="V9" i="1"/>
  <c r="U10" i="1"/>
  <c r="W9" i="1" l="1"/>
  <c r="AC9" i="1" s="1"/>
  <c r="AE9" i="1" s="1"/>
  <c r="W8" i="1"/>
  <c r="AC8" i="1" s="1"/>
  <c r="AE8" i="1" s="1"/>
  <c r="U11" i="1"/>
  <c r="V10" i="1"/>
  <c r="W10" i="1" l="1"/>
  <c r="AC10" i="1" s="1"/>
  <c r="AE10" i="1" s="1"/>
  <c r="U12" i="1"/>
  <c r="V11" i="1"/>
  <c r="W11" i="1" l="1"/>
  <c r="AC11" i="1" s="1"/>
  <c r="AE11" i="1" s="1"/>
  <c r="V12" i="1"/>
  <c r="U13" i="1"/>
  <c r="W12" i="1" l="1"/>
  <c r="AC12" i="1" s="1"/>
  <c r="AE12" i="1" s="1"/>
  <c r="V13" i="1"/>
  <c r="U14" i="1"/>
  <c r="W13" i="1" l="1"/>
  <c r="AC13" i="1" s="1"/>
  <c r="AE13" i="1" s="1"/>
  <c r="V14" i="1"/>
  <c r="U15" i="1"/>
  <c r="W14" i="1" l="1"/>
  <c r="AC14" i="1" s="1"/>
  <c r="AE14" i="1" s="1"/>
  <c r="V15" i="1"/>
  <c r="U16" i="1"/>
  <c r="W15" i="1" l="1"/>
  <c r="AC15" i="1" s="1"/>
  <c r="AE15" i="1" s="1"/>
  <c r="D17" i="1" s="1"/>
  <c r="V16" i="1"/>
  <c r="W16" i="1" l="1"/>
  <c r="AC16" i="1" s="1"/>
  <c r="AE16" i="1" s="1"/>
  <c r="H26" i="1" l="1"/>
  <c r="H28" i="1" s="1"/>
  <c r="H34" i="1" s="1"/>
  <c r="G26" i="1"/>
  <c r="G28" i="1" s="1"/>
  <c r="G34" i="1" s="1"/>
  <c r="H36" i="1" l="1"/>
  <c r="H39" i="1" l="1"/>
  <c r="I26" i="1" l="1"/>
  <c r="I28" i="1" s="1"/>
  <c r="I34" i="1" s="1"/>
  <c r="I39" i="1" l="1"/>
  <c r="J26" i="1" l="1"/>
  <c r="J28" i="1" s="1"/>
  <c r="J34" i="1" s="1"/>
  <c r="J39" i="1"/>
  <c r="I36" i="1" l="1"/>
  <c r="K26" i="1"/>
  <c r="K28" i="1" s="1"/>
  <c r="K34" i="1" s="1"/>
  <c r="K39" i="1"/>
  <c r="L26" i="1"/>
  <c r="L28" i="1" s="1"/>
  <c r="L34" i="1" s="1"/>
  <c r="J36" i="1" l="1"/>
  <c r="L39" i="1"/>
  <c r="M26" i="1" l="1"/>
  <c r="M28" i="1" s="1"/>
  <c r="M34" i="1" s="1"/>
  <c r="M39" i="1"/>
  <c r="N26" i="1" l="1"/>
  <c r="N28" i="1" s="1"/>
  <c r="N34" i="1" s="1"/>
  <c r="K36" i="1"/>
  <c r="L36" i="1"/>
  <c r="N39" i="1"/>
  <c r="O26" i="1"/>
  <c r="O28" i="1" s="1"/>
  <c r="O34" i="1" s="1"/>
  <c r="O39" i="1" l="1"/>
  <c r="Q26" i="1"/>
  <c r="Q28" i="1" s="1"/>
  <c r="Q34" i="1" s="1"/>
  <c r="P26" i="1"/>
  <c r="P28" i="1" s="1"/>
  <c r="P34" i="1" s="1"/>
  <c r="E26" i="1"/>
  <c r="E28" i="1" s="1"/>
  <c r="E34" i="1" l="1"/>
  <c r="E36" i="1" s="1"/>
  <c r="N36" i="1"/>
  <c r="M36" i="1"/>
  <c r="E39" i="1"/>
  <c r="P39" i="1"/>
  <c r="Q39" i="1" l="1"/>
  <c r="P36" i="1"/>
  <c r="O36" i="1"/>
  <c r="Q36" i="1" l="1"/>
  <c r="R39" i="1"/>
  <c r="I11" i="1"/>
  <c r="R26" i="1"/>
  <c r="R28" i="1" s="1"/>
  <c r="AI11" i="1" l="1"/>
  <c r="I14" i="1"/>
  <c r="R34" i="1"/>
  <c r="AI16" i="1" s="1"/>
  <c r="F26" i="1"/>
  <c r="F28" i="1" s="1"/>
  <c r="F34" i="1" s="1"/>
  <c r="AI15" i="1" l="1"/>
  <c r="AI8" i="1"/>
  <c r="AI14" i="1"/>
  <c r="AI9" i="1"/>
  <c r="AI13" i="1"/>
  <c r="AI7" i="1"/>
  <c r="AI10" i="1"/>
  <c r="AI12" i="1"/>
  <c r="I15" i="1"/>
  <c r="R36" i="1"/>
  <c r="F36" i="1"/>
  <c r="G36" i="1"/>
  <c r="F39" i="1" l="1"/>
  <c r="G39" i="1"/>
  <c r="I16" i="1" l="1"/>
  <c r="AG15" i="1" l="1"/>
  <c r="AG7" i="1"/>
  <c r="AG9" i="1"/>
  <c r="AG8" i="1"/>
  <c r="AG14" i="1"/>
  <c r="AG12" i="1"/>
  <c r="AG10" i="1"/>
  <c r="AG16" i="1"/>
  <c r="AG13" i="1"/>
  <c r="AG11" i="1"/>
</calcChain>
</file>

<file path=xl/sharedStrings.xml><?xml version="1.0" encoding="utf-8"?>
<sst xmlns="http://schemas.openxmlformats.org/spreadsheetml/2006/main" count="75" uniqueCount="63">
  <si>
    <t>($ in Millions Except Per Share and Per Unit Data)</t>
  </si>
  <si>
    <t>Revenue:</t>
  </si>
  <si>
    <t>%</t>
  </si>
  <si>
    <t>Operating Income (EBIT):</t>
  </si>
  <si>
    <t>Effective Tax Rate:</t>
  </si>
  <si>
    <t>Equity:</t>
  </si>
  <si>
    <t>Beta:</t>
  </si>
  <si>
    <t>Discounted Cash Flow (DCF) Analysis - Assumptions and Output:</t>
  </si>
  <si>
    <t>Discount Rate (WACC):</t>
  </si>
  <si>
    <t>Baseline Terminal EBITDA Multiple:</t>
  </si>
  <si>
    <t>Baseline Terminal Value:</t>
  </si>
  <si>
    <t>Implied Enterprise Value:</t>
  </si>
  <si>
    <t>Risk-Free Rate:</t>
  </si>
  <si>
    <t>Equity Risk Premium:</t>
  </si>
  <si>
    <t>Net Operating Profit After Tax (NOPAT):</t>
  </si>
  <si>
    <t>Annual EBITDA:</t>
  </si>
  <si>
    <t>Unlevered Free Cash Flow Projections:</t>
  </si>
  <si>
    <t>Annual Unlevered Free Cash Flow:</t>
  </si>
  <si>
    <t>Annual Free Cash Flow Growth Rate:</t>
  </si>
  <si>
    <t>Annual EBITDA Growth Rate:</t>
  </si>
  <si>
    <t>Terminal Value - Multiples Method: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</si>
  <si>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</si>
  <si>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</si>
  <si>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</si>
  <si>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</si>
  <si>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</si>
  <si>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</si>
  <si>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</si>
  <si>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</si>
  <si>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</si>
  <si>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</si>
  <si>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</si>
  <si>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</si>
  <si>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</si>
  <si>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</si>
  <si>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Projected:</t>
  </si>
  <si>
    <t>Historical:</t>
  </si>
  <si>
    <t>Illustrative DCF Analysis and the Impact of the Debt / Equity Ratio on Implied Enterprise Value</t>
  </si>
  <si>
    <t>$ M</t>
  </si>
  <si>
    <t xml:space="preserve">Debt / </t>
  </si>
  <si>
    <t>Relevered</t>
  </si>
  <si>
    <t>Risk</t>
  </si>
  <si>
    <t>Cost of Debt:</t>
  </si>
  <si>
    <t xml:space="preserve">Cost of </t>
  </si>
  <si>
    <t xml:space="preserve">Implied </t>
  </si>
  <si>
    <t>Spread:</t>
  </si>
  <si>
    <t>Pre-Tax:</t>
  </si>
  <si>
    <t>After-Tax:</t>
  </si>
  <si>
    <t>WACC:</t>
  </si>
  <si>
    <t>Total Capital:</t>
  </si>
  <si>
    <t>Median Unlevered Beta for Comparables:</t>
  </si>
  <si>
    <t>Company - Targeted Debt / Total Capital Ratio:</t>
  </si>
  <si>
    <t>Implied</t>
  </si>
  <si>
    <t>Enterprise Value:</t>
  </si>
  <si>
    <t>Years in Projection Period:</t>
  </si>
  <si>
    <t>"Accounting"</t>
  </si>
  <si>
    <t>(+) PV of Terminal Value:</t>
  </si>
  <si>
    <t>(+) Sum of PV of Free Cash Flows:</t>
  </si>
  <si>
    <t>(-) Taxes, Excluding Effect of Interest:</t>
  </si>
  <si>
    <t>(-) Capital Expenditures:</t>
  </si>
  <si>
    <t>(+) Adjustments for Non-Cash Charges:</t>
  </si>
  <si>
    <t>(+/-) Changes in Operating Assets &amp; Liabilities:</t>
  </si>
  <si>
    <t>Units: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</si>
</sst>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8" formatCode="&quot;$&quot;#,##0.00_);[Red]\(&quot;$&quot;#,##0.00\)"/>
    <numFmt numFmtId="164" formatCode="&quot;FY&quot;yy"/>
    <numFmt numFmtId="165" formatCode="0.0%;\(0.0%\)"/>
    <numFmt numFmtId="166" formatCode="_(&quot;$&quot;* #,##0.0_);_(&quot;$&quot;* \(#,##0.0\);_(&quot;$&quot;* &quot;-&quot;?_);_(@_)"/>
    <numFmt numFmtId="167" formatCode="_(* #,##0.0_);_(* \(#,##0.0\);_(* &quot;-&quot;?_);_(@_)"/>
    <numFmt numFmtId="168" formatCode="_(0.0%_);\(0.0%\);_(&quot;–&quot;_)_%;_(@_)_%"/>
    <numFmt numFmtId="169" formatCode="_(0.0\ \x_);\(0.0\ \x\);_(&quot;–&quot;_);_(@_)"/>
    <numFmt numFmtId="170" formatCode="_(0.00%_);\(0.00%\);_(&quot;–&quot;_)_%;_(@_)_%"/>
    <numFmt numFmtId="171" formatCode="_(#,##0.00_);\(#,##0.00\);_(&quot;–&quot;_);_(@_)"/>
  </numFmts>
  <fonts count="30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FF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indexed="8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12">
    <xf numFmtId="0" fontId="0" fillId="0" borderId="0"/>
    <xf numFmtId="0" fontId="14" fillId="2" borderId="2" applyNumberFormat="0" applyAlignment="0" applyProtection="0"/>
    <xf numFmtId="0" fontId="19" fillId="0" borderId="0"/>
    <xf numFmtId="0" fontId="6" fillId="0" borderId="0"/>
    <xf numFmtId="0" fontId="5" fillId="0" borderId="0"/>
    <xf numFmtId="0" fontId="22" fillId="0" borderId="0" applyAlignment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87">
    <xf numFmtId="0" fontId="0" fillId="0" borderId="0" xfId="0"/>
    <xf numFmtId="0" fontId="9" fillId="0" borderId="0" xfId="0" applyFont="1"/>
    <xf numFmtId="0" fontId="10" fillId="0" borderId="0" xfId="0" applyFont="1"/>
    <xf numFmtId="0" fontId="10" fillId="0" borderId="0" xfId="0" applyFont="1" applyBorder="1"/>
    <xf numFmtId="0" fontId="13" fillId="0" borderId="0" xfId="0" applyFont="1"/>
    <xf numFmtId="0" fontId="8" fillId="0" borderId="0" xfId="0" applyFont="1"/>
    <xf numFmtId="0" fontId="9" fillId="0" borderId="0" xfId="0" applyFont="1" applyAlignment="1"/>
    <xf numFmtId="165" fontId="17" fillId="0" borderId="0" xfId="0" applyNumberFormat="1" applyFont="1" applyBorder="1" applyAlignment="1"/>
    <xf numFmtId="0" fontId="7" fillId="0" borderId="0" xfId="0" applyFont="1"/>
    <xf numFmtId="167" fontId="20" fillId="0" borderId="0" xfId="0" applyNumberFormat="1" applyFont="1" applyBorder="1"/>
    <xf numFmtId="0" fontId="10" fillId="0" borderId="0" xfId="0" applyFont="1" applyFill="1" applyBorder="1"/>
    <xf numFmtId="0" fontId="16" fillId="0" borderId="0" xfId="2" applyFont="1"/>
    <xf numFmtId="0" fontId="16" fillId="0" borderId="0" xfId="2" applyFont="1" applyFill="1" applyBorder="1"/>
    <xf numFmtId="0" fontId="16" fillId="0" borderId="0" xfId="2" applyFont="1" applyBorder="1"/>
    <xf numFmtId="166" fontId="1" fillId="0" borderId="0" xfId="0" applyNumberFormat="1" applyFont="1"/>
    <xf numFmtId="0" fontId="16" fillId="0" borderId="0" xfId="2" applyFont="1" applyBorder="1" applyAlignment="1">
      <alignment horizontal="left" indent="1"/>
    </xf>
    <xf numFmtId="167" fontId="1" fillId="0" borderId="0" xfId="0" applyNumberFormat="1" applyFont="1" applyBorder="1"/>
    <xf numFmtId="0" fontId="16" fillId="0" borderId="1" xfId="2" applyFont="1" applyBorder="1" applyAlignment="1">
      <alignment horizontal="left" indent="1"/>
    </xf>
    <xf numFmtId="0" fontId="16" fillId="0" borderId="1" xfId="2" applyFont="1" applyBorder="1"/>
    <xf numFmtId="167" fontId="1" fillId="0" borderId="1" xfId="0" applyNumberFormat="1" applyFont="1" applyBorder="1"/>
    <xf numFmtId="0" fontId="15" fillId="0" borderId="0" xfId="2" applyFont="1" applyBorder="1"/>
    <xf numFmtId="166" fontId="11" fillId="0" borderId="0" xfId="0" applyNumberFormat="1" applyFont="1"/>
    <xf numFmtId="0" fontId="1" fillId="0" borderId="0" xfId="0" applyFont="1"/>
    <xf numFmtId="0" fontId="23" fillId="0" borderId="0" xfId="0" applyFont="1"/>
    <xf numFmtId="0" fontId="1" fillId="0" borderId="0" xfId="0" applyFont="1" applyBorder="1"/>
    <xf numFmtId="0" fontId="25" fillId="0" borderId="0" xfId="0" applyFont="1" applyAlignment="1">
      <alignment horizontal="left" indent="1"/>
    </xf>
    <xf numFmtId="0" fontId="0" fillId="0" borderId="0" xfId="0" applyFont="1"/>
    <xf numFmtId="0" fontId="25" fillId="0" borderId="0" xfId="0" applyFont="1"/>
    <xf numFmtId="0" fontId="1" fillId="0" borderId="0" xfId="0" applyFont="1" applyAlignment="1"/>
    <xf numFmtId="167" fontId="21" fillId="0" borderId="0" xfId="0" applyNumberFormat="1" applyFont="1" applyBorder="1"/>
    <xf numFmtId="0" fontId="10" fillId="0" borderId="0" xfId="0" applyFont="1" applyAlignment="1">
      <alignment horizontal="left" indent="1"/>
    </xf>
    <xf numFmtId="0" fontId="23" fillId="5" borderId="0" xfId="0" applyFont="1" applyFill="1"/>
    <xf numFmtId="0" fontId="23" fillId="6" borderId="0" xfId="0" applyFont="1" applyFill="1"/>
    <xf numFmtId="0" fontId="0" fillId="0" borderId="0" xfId="0" applyFont="1" applyBorder="1"/>
    <xf numFmtId="0" fontId="0" fillId="0" borderId="0" xfId="0" applyFont="1" applyFill="1" applyBorder="1"/>
    <xf numFmtId="168" fontId="18" fillId="0" borderId="0" xfId="0" applyNumberFormat="1" applyFont="1" applyBorder="1" applyAlignment="1">
      <alignment horizontal="center"/>
    </xf>
    <xf numFmtId="168" fontId="14" fillId="0" borderId="0" xfId="0" applyNumberFormat="1" applyFont="1" applyBorder="1" applyAlignment="1">
      <alignment horizontal="center"/>
    </xf>
    <xf numFmtId="171" fontId="0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/>
    <xf numFmtId="0" fontId="23" fillId="0" borderId="0" xfId="0" applyFont="1" applyFill="1"/>
    <xf numFmtId="167" fontId="20" fillId="0" borderId="0" xfId="0" applyNumberFormat="1" applyFont="1" applyFill="1" applyBorder="1"/>
    <xf numFmtId="165" fontId="14" fillId="2" borderId="2" xfId="1" applyNumberFormat="1" applyFont="1" applyBorder="1" applyAlignment="1">
      <alignment horizontal="center"/>
    </xf>
    <xf numFmtId="170" fontId="12" fillId="2" borderId="3" xfId="0" applyNumberFormat="1" applyFont="1" applyFill="1" applyBorder="1" applyAlignment="1">
      <alignment horizontal="center"/>
    </xf>
    <xf numFmtId="0" fontId="26" fillId="3" borderId="0" xfId="0" applyFont="1" applyFill="1"/>
    <xf numFmtId="0" fontId="27" fillId="3" borderId="0" xfId="0" applyFont="1" applyFill="1"/>
    <xf numFmtId="0" fontId="26" fillId="3" borderId="0" xfId="0" applyFont="1" applyFill="1" applyAlignment="1"/>
    <xf numFmtId="0" fontId="24" fillId="3" borderId="1" xfId="0" applyFont="1" applyFill="1" applyBorder="1"/>
    <xf numFmtId="0" fontId="28" fillId="3" borderId="1" xfId="0" applyFont="1" applyFill="1" applyBorder="1"/>
    <xf numFmtId="0" fontId="27" fillId="3" borderId="1" xfId="0" applyFont="1" applyFill="1" applyBorder="1"/>
    <xf numFmtId="0" fontId="26" fillId="3" borderId="1" xfId="0" applyFont="1" applyFill="1" applyBorder="1" applyAlignment="1"/>
    <xf numFmtId="0" fontId="26" fillId="3" borderId="1" xfId="0" applyFont="1" applyFill="1" applyBorder="1"/>
    <xf numFmtId="0" fontId="11" fillId="4" borderId="1" xfId="0" applyFont="1" applyFill="1" applyBorder="1" applyAlignment="1">
      <alignment horizontal="centerContinuous"/>
    </xf>
    <xf numFmtId="0" fontId="9" fillId="4" borderId="1" xfId="0" applyFont="1" applyFill="1" applyBorder="1" applyAlignment="1">
      <alignment horizontal="centerContinuous"/>
    </xf>
    <xf numFmtId="0" fontId="26" fillId="3" borderId="0" xfId="0" applyFont="1" applyFill="1" applyBorder="1"/>
    <xf numFmtId="0" fontId="27" fillId="3" borderId="0" xfId="0" applyFont="1" applyFill="1" applyBorder="1"/>
    <xf numFmtId="0" fontId="28" fillId="3" borderId="1" xfId="0" applyFont="1" applyFill="1" applyBorder="1" applyAlignment="1">
      <alignment horizontal="center"/>
    </xf>
    <xf numFmtId="164" fontId="24" fillId="3" borderId="1" xfId="0" applyNumberFormat="1" applyFont="1" applyFill="1" applyBorder="1" applyAlignment="1">
      <alignment horizontal="center"/>
    </xf>
    <xf numFmtId="0" fontId="24" fillId="3" borderId="4" xfId="0" applyFont="1" applyFill="1" applyBorder="1" applyAlignment="1">
      <alignment horizontal="centerContinuous"/>
    </xf>
    <xf numFmtId="0" fontId="27" fillId="3" borderId="4" xfId="0" applyFont="1" applyFill="1" applyBorder="1" applyAlignment="1">
      <alignment horizontal="centerContinuous"/>
    </xf>
    <xf numFmtId="0" fontId="26" fillId="3" borderId="4" xfId="0" applyFont="1" applyFill="1" applyBorder="1" applyAlignment="1">
      <alignment horizontal="centerContinuous"/>
    </xf>
    <xf numFmtId="0" fontId="24" fillId="3" borderId="6" xfId="0" applyFont="1" applyFill="1" applyBorder="1" applyAlignment="1">
      <alignment horizontal="centerContinuous"/>
    </xf>
    <xf numFmtId="164" fontId="24" fillId="3" borderId="5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6" borderId="0" xfId="0" applyFont="1" applyFill="1" applyBorder="1" applyAlignment="1">
      <alignment horizontal="center"/>
    </xf>
    <xf numFmtId="0" fontId="23" fillId="4" borderId="0" xfId="0" applyFont="1" applyFill="1" applyBorder="1" applyAlignment="1">
      <alignment horizontal="center"/>
    </xf>
    <xf numFmtId="0" fontId="0" fillId="4" borderId="0" xfId="0" applyFill="1"/>
    <xf numFmtId="0" fontId="23" fillId="4" borderId="1" xfId="0" applyFont="1" applyFill="1" applyBorder="1" applyAlignment="1">
      <alignment horizontal="centerContinuous"/>
    </xf>
    <xf numFmtId="0" fontId="0" fillId="4" borderId="1" xfId="0" applyFont="1" applyFill="1" applyBorder="1" applyAlignment="1">
      <alignment horizontal="centerContinuous"/>
    </xf>
    <xf numFmtId="0" fontId="23" fillId="4" borderId="0" xfId="0" applyFont="1" applyFill="1" applyBorder="1"/>
    <xf numFmtId="0" fontId="23" fillId="4" borderId="1" xfId="0" applyFont="1" applyFill="1" applyBorder="1" applyAlignment="1">
      <alignment horizontal="center"/>
    </xf>
    <xf numFmtId="0" fontId="0" fillId="4" borderId="1" xfId="0" applyFill="1" applyBorder="1"/>
    <xf numFmtId="0" fontId="0" fillId="4" borderId="1" xfId="0" applyFont="1" applyFill="1" applyBorder="1"/>
    <xf numFmtId="2" fontId="12" fillId="2" borderId="3" xfId="0" applyNumberFormat="1" applyFont="1" applyFill="1" applyBorder="1" applyAlignment="1">
      <alignment horizontal="center"/>
    </xf>
    <xf numFmtId="169" fontId="12" fillId="2" borderId="3" xfId="0" applyNumberFormat="1" applyFont="1" applyFill="1" applyBorder="1" applyAlignment="1">
      <alignment horizontal="center"/>
    </xf>
    <xf numFmtId="165" fontId="16" fillId="0" borderId="0" xfId="2" applyNumberFormat="1" applyFont="1" applyBorder="1" applyAlignment="1">
      <alignment horizontal="center"/>
    </xf>
    <xf numFmtId="170" fontId="12" fillId="0" borderId="0" xfId="0" applyNumberFormat="1" applyFont="1" applyFill="1" applyBorder="1" applyAlignment="1">
      <alignment horizontal="center"/>
    </xf>
    <xf numFmtId="170" fontId="16" fillId="2" borderId="3" xfId="0" applyNumberFormat="1" applyFont="1" applyFill="1" applyBorder="1" applyAlignment="1">
      <alignment horizontal="center"/>
    </xf>
    <xf numFmtId="165" fontId="18" fillId="2" borderId="2" xfId="1" applyNumberFormat="1" applyFont="1" applyBorder="1" applyAlignment="1">
      <alignment horizontal="center"/>
    </xf>
    <xf numFmtId="8" fontId="1" fillId="0" borderId="0" xfId="0" applyNumberFormat="1" applyFont="1" applyAlignment="1"/>
    <xf numFmtId="166" fontId="1" fillId="0" borderId="0" xfId="0" applyNumberFormat="1" applyFont="1" applyBorder="1"/>
    <xf numFmtId="166" fontId="29" fillId="0" borderId="0" xfId="0" applyNumberFormat="1" applyFont="1" applyBorder="1"/>
    <xf numFmtId="167" fontId="12" fillId="0" borderId="0" xfId="0" applyNumberFormat="1" applyFont="1" applyBorder="1"/>
    <xf numFmtId="166" fontId="20" fillId="5" borderId="0" xfId="0" applyNumberFormat="1" applyFont="1" applyFill="1" applyBorder="1"/>
    <xf numFmtId="166" fontId="11" fillId="6" borderId="0" xfId="0" applyNumberFormat="1" applyFont="1" applyFill="1"/>
    <xf numFmtId="1" fontId="12" fillId="2" borderId="3" xfId="0" applyNumberFormat="1" applyFont="1" applyFill="1" applyBorder="1" applyAlignment="1">
      <alignment horizontal="center"/>
    </xf>
  </cellXfs>
  <cellStyles count="12">
    <cellStyle name="Normal" xfId="0" builtinId="0" customBuiltin="1"/>
    <cellStyle name="Normal 2" xfId="2"/>
    <cellStyle name="Normal 3" xfId="3"/>
    <cellStyle name="Normal 3 2" xfId="7"/>
    <cellStyle name="Normal 3 3" xfId="9"/>
    <cellStyle name="Normal 3 4" xfId="10"/>
    <cellStyle name="Normal 4" xfId="4"/>
    <cellStyle name="Normal 4 2" xfId="8"/>
    <cellStyle name="Normal 5" xfId="6"/>
    <cellStyle name="Normal 5 2" xfId="11"/>
    <cellStyle name="Note" xfId="1" builtinId="10" customBuiltin="1"/>
    <cellStyle name="TextNormal" xfId="5"/>
  </cellStyles>
  <dxfs count="0"/>
  <tableStyles count="0" defaultTableStyle="TableStyleMedium2" defaultPivotStyle="PivotStyleLight16"/>
  <colors>
    <mruColors>
      <color rgb="FF0000FF"/>
      <color rgb="FFFFFF99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Enterprise Value vs. Debt / Total</a:t>
            </a:r>
            <a:r>
              <a:rPr lang="en-US" b="1" baseline="0">
                <a:solidFill>
                  <a:sysClr val="windowText" lastClr="000000"/>
                </a:solidFill>
              </a:rPr>
              <a:t> Capital Ratio - Theoretical Impact:</a:t>
            </a:r>
            <a:endParaRPr lang="en-U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'Debt-Equity-Enterprise-Value'!$U$7:$U$16</c:f>
              <c:numCache>
                <c:formatCode>_(0.0%_);\(0.0%\);_("–"_)_%;_(@_)_%</c:formatCode>
                <c:ptCount val="1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</c:numCache>
            </c:numRef>
          </c:xVal>
          <c:yVal>
            <c:numRef>
              <c:f>'Debt-Equity-Enterprise-Value'!$AG$7:$AG$16</c:f>
              <c:numCache>
                <c:formatCode>_(* #,##0.0_);_(* \(#,##0.0\);_(* "-"?_);_(@_)</c:formatCode>
                <c:ptCount val="10"/>
                <c:pt idx="0" formatCode="_(&quot;$&quot;* #,##0.0_);_(&quot;$&quot;* \(#,##0.0\);_(&quot;$&quot;* &quot;-&quot;?_);_(@_)">
                  <c:v>10770.635166412547</c:v>
                </c:pt>
                <c:pt idx="1">
                  <c:v>10770.635166412547</c:v>
                </c:pt>
                <c:pt idx="2">
                  <c:v>10770.635166412547</c:v>
                </c:pt>
                <c:pt idx="3">
                  <c:v>10770.635166412547</c:v>
                </c:pt>
                <c:pt idx="4">
                  <c:v>10770.635166412547</c:v>
                </c:pt>
                <c:pt idx="5">
                  <c:v>10770.635166412547</c:v>
                </c:pt>
                <c:pt idx="6">
                  <c:v>10770.635166412547</c:v>
                </c:pt>
                <c:pt idx="7">
                  <c:v>10770.635166412547</c:v>
                </c:pt>
                <c:pt idx="8">
                  <c:v>10770.635166412547</c:v>
                </c:pt>
                <c:pt idx="9">
                  <c:v>10770.635166412547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030-4CA6-9062-02765A33BF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8162712"/>
        <c:axId val="189144176"/>
      </c:scatterChart>
      <c:valAx>
        <c:axId val="188162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Debt / Total Capital Ratio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0.0%_);\(0.0%\);_(&quot;–&quot;_)_%;_(@_)_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144176"/>
        <c:crosses val="autoZero"/>
        <c:crossBetween val="midCat"/>
      </c:valAx>
      <c:valAx>
        <c:axId val="189144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Enterprise Value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.0_);_(&quot;$&quot;* \(#,##0.0\);_(&quot;$&quot;* &quot;-&quot;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1627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Enterprise Value vs. Debt / Total</a:t>
            </a:r>
            <a:r>
              <a:rPr lang="en-US" b="1" baseline="0">
                <a:solidFill>
                  <a:sysClr val="windowText" lastClr="000000"/>
                </a:solidFill>
              </a:rPr>
              <a:t> Capital Ratio - More Accurate in Reality:</a:t>
            </a:r>
            <a:endParaRPr lang="en-U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'Debt-Equity-Enterprise-Value'!$U$7:$U$16</c:f>
              <c:numCache>
                <c:formatCode>_(0.0%_);\(0.0%\);_("–"_)_%;_(@_)_%</c:formatCode>
                <c:ptCount val="1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</c:numCache>
            </c:numRef>
          </c:xVal>
          <c:yVal>
            <c:numRef>
              <c:f>'Debt-Equity-Enterprise-Value'!$AI$7:$AI$16</c:f>
              <c:numCache>
                <c:formatCode>_(* #,##0.0_);_(* \(#,##0.0\);_(* "-"?_);_(@_)</c:formatCode>
                <c:ptCount val="10"/>
                <c:pt idx="0" formatCode="_(&quot;$&quot;* #,##0.0_);_(&quot;$&quot;* \(#,##0.0\);_(&quot;$&quot;* &quot;-&quot;?_);_(@_)">
                  <c:v>10413.30590244749</c:v>
                </c:pt>
                <c:pt idx="1">
                  <c:v>10576.314161587823</c:v>
                </c:pt>
                <c:pt idx="2">
                  <c:v>10696.068226902844</c:v>
                </c:pt>
                <c:pt idx="3">
                  <c:v>10770.635166412547</c:v>
                </c:pt>
                <c:pt idx="4">
                  <c:v>10431.448722988174</c:v>
                </c:pt>
                <c:pt idx="5">
                  <c:v>10214.2898590484</c:v>
                </c:pt>
                <c:pt idx="6">
                  <c:v>9918.1081713407348</c:v>
                </c:pt>
                <c:pt idx="7">
                  <c:v>9552.0052739566836</c:v>
                </c:pt>
                <c:pt idx="8">
                  <c:v>9126.7844769713229</c:v>
                </c:pt>
                <c:pt idx="9">
                  <c:v>8654.357686503623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8BF-4714-AD41-66FCFEBB40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9504936"/>
        <c:axId val="189222376"/>
      </c:scatterChart>
      <c:valAx>
        <c:axId val="189504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Debt / Total Capital Ratio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0.0%_);\(0.0%\);_(&quot;–&quot;_)_%;_(@_)_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222376"/>
        <c:crosses val="autoZero"/>
        <c:crossBetween val="midCat"/>
      </c:valAx>
      <c:valAx>
        <c:axId val="189222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Enterprise Value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.0_);_(&quot;$&quot;* \(#,##0.0\);_(&quot;$&quot;* &quot;-&quot;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5049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17</xdr:row>
      <xdr:rowOff>68580</xdr:rowOff>
    </xdr:from>
    <xdr:to>
      <xdr:col>30</xdr:col>
      <xdr:colOff>541020</xdr:colOff>
      <xdr:row>33</xdr:row>
      <xdr:rowOff>137160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175260</xdr:colOff>
      <xdr:row>34</xdr:row>
      <xdr:rowOff>167640</xdr:rowOff>
    </xdr:from>
    <xdr:to>
      <xdr:col>30</xdr:col>
      <xdr:colOff>525780</xdr:colOff>
      <xdr:row>53</xdr:row>
      <xdr:rowOff>53340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2:AJ39"/>
  <sheetViews>
    <sheetView showGridLines="0" tabSelected="1" topLeftCell="O1" zoomScaleNormal="100" workbookViewId="0">
      <selection activeCell="U5" sqref="U5"/>
    </sheetView>
  </sheetViews>
  <sheetFormatPr defaultColWidth="8.85546875" defaultRowHeight="15" x14ac:dyDescent="0.25"/>
  <cols>
    <col min="1" max="2" width="2.7109375" style="1" customWidth="1"/>
    <col min="3" max="3" width="45.7109375" style="1" customWidth="1"/>
    <col min="4" max="4" width="12.7109375" style="2" customWidth="1"/>
    <col min="5" max="6" width="10.7109375" style="2" customWidth="1"/>
    <col min="7" max="13" width="10.7109375" style="6" customWidth="1"/>
    <col min="14" max="18" width="10.7109375" style="1" customWidth="1"/>
    <col min="19" max="20" width="2.7109375" style="1" customWidth="1"/>
    <col min="21" max="21" width="12" style="1" customWidth="1"/>
    <col min="22" max="36" width="10.7109375" style="1" customWidth="1"/>
    <col min="37" max="16384" width="8.85546875" style="1"/>
  </cols>
  <sheetData>
    <row r="2" spans="2:36" ht="18.75" x14ac:dyDescent="0.3">
      <c r="B2" s="4" t="s">
        <v>37</v>
      </c>
    </row>
    <row r="3" spans="2:36" x14ac:dyDescent="0.25">
      <c r="B3" s="5" t="s">
        <v>0</v>
      </c>
    </row>
    <row r="5" spans="2:36" x14ac:dyDescent="0.25">
      <c r="B5" s="43"/>
      <c r="C5" s="43"/>
      <c r="D5" s="44"/>
      <c r="E5" s="44"/>
      <c r="F5" s="44"/>
      <c r="G5" s="45"/>
      <c r="H5" s="45"/>
      <c r="I5" s="45"/>
      <c r="J5" s="45"/>
      <c r="K5" s="45"/>
      <c r="L5" s="45"/>
      <c r="M5" s="45"/>
      <c r="N5" s="43"/>
      <c r="O5" s="43"/>
      <c r="P5" s="43"/>
      <c r="Q5" s="43"/>
      <c r="R5" s="43"/>
      <c r="T5" s="66"/>
      <c r="U5" s="66" t="s">
        <v>39</v>
      </c>
      <c r="V5" s="66" t="s">
        <v>39</v>
      </c>
      <c r="W5" s="66" t="s">
        <v>40</v>
      </c>
      <c r="X5" s="66" t="s">
        <v>41</v>
      </c>
      <c r="Y5" s="67"/>
      <c r="Z5" s="68" t="s">
        <v>42</v>
      </c>
      <c r="AA5" s="69"/>
      <c r="AB5" s="67"/>
      <c r="AC5" s="66" t="s">
        <v>43</v>
      </c>
      <c r="AD5" s="70"/>
      <c r="AE5" s="66" t="s">
        <v>44</v>
      </c>
      <c r="AF5" s="66"/>
      <c r="AG5" s="66" t="s">
        <v>55</v>
      </c>
      <c r="AH5" s="66"/>
      <c r="AI5" s="66" t="s">
        <v>52</v>
      </c>
      <c r="AJ5" s="66"/>
    </row>
    <row r="6" spans="2:36" x14ac:dyDescent="0.25">
      <c r="B6" s="46" t="s">
        <v>7</v>
      </c>
      <c r="C6" s="46"/>
      <c r="D6" s="47"/>
      <c r="E6" s="48"/>
      <c r="F6" s="48"/>
      <c r="G6" s="49"/>
      <c r="H6" s="49"/>
      <c r="I6" s="49"/>
      <c r="J6" s="49"/>
      <c r="K6" s="49"/>
      <c r="L6" s="49"/>
      <c r="M6" s="49"/>
      <c r="N6" s="50"/>
      <c r="O6" s="50"/>
      <c r="P6" s="50"/>
      <c r="Q6" s="50"/>
      <c r="R6" s="50"/>
      <c r="T6" s="71"/>
      <c r="U6" s="71" t="s">
        <v>49</v>
      </c>
      <c r="V6" s="71" t="s">
        <v>5</v>
      </c>
      <c r="W6" s="71" t="s">
        <v>6</v>
      </c>
      <c r="X6" s="71" t="s">
        <v>45</v>
      </c>
      <c r="Y6" s="72"/>
      <c r="Z6" s="71" t="s">
        <v>46</v>
      </c>
      <c r="AA6" s="71" t="s">
        <v>47</v>
      </c>
      <c r="AB6" s="72"/>
      <c r="AC6" s="71" t="s">
        <v>5</v>
      </c>
      <c r="AD6" s="73"/>
      <c r="AE6" s="71" t="s">
        <v>48</v>
      </c>
      <c r="AF6" s="71"/>
      <c r="AG6" s="71" t="s">
        <v>53</v>
      </c>
      <c r="AH6" s="71"/>
      <c r="AI6" s="71" t="s">
        <v>53</v>
      </c>
      <c r="AJ6" s="71"/>
    </row>
    <row r="7" spans="2:36" x14ac:dyDescent="0.25">
      <c r="B7" s="22"/>
      <c r="C7" s="22"/>
      <c r="G7" s="28"/>
      <c r="H7" s="28"/>
      <c r="I7" s="28"/>
      <c r="J7" s="28"/>
      <c r="K7" s="28"/>
      <c r="L7" s="28"/>
      <c r="M7" s="28"/>
      <c r="N7" s="22"/>
      <c r="O7" s="22"/>
      <c r="P7" s="22"/>
      <c r="Q7" s="22"/>
      <c r="R7" s="22"/>
      <c r="U7" s="36">
        <v>0</v>
      </c>
      <c r="V7" s="35">
        <f>+U7/(1-U7)</f>
        <v>0</v>
      </c>
      <c r="W7" s="37">
        <f t="shared" ref="W7:W16" si="0">+Unlevered_Beta*(1+V7*(1-Tax_Rate))</f>
        <v>0.71880280268891616</v>
      </c>
      <c r="X7" s="36">
        <v>0.01</v>
      </c>
      <c r="Y7" s="34"/>
      <c r="Z7" s="35">
        <f t="shared" ref="Z7:Z16" si="1">+Risk_Free_Rate+X7</f>
        <v>3.6200000000000003E-2</v>
      </c>
      <c r="AA7" s="35">
        <f t="shared" ref="AA7:AA16" si="2">+Z7*(1-Tax_Rate)</f>
        <v>2.172E-2</v>
      </c>
      <c r="AB7" s="34"/>
      <c r="AC7" s="35">
        <f t="shared" ref="AC7:AC16" si="3">+Risk_Free_Rate+Equity_Risk_Premium*W7</f>
        <v>7.6516196188224139E-2</v>
      </c>
      <c r="AD7" s="34"/>
      <c r="AE7" s="35">
        <f>+(1-U7)*AC7+U7*AA7</f>
        <v>7.6516196188224139E-2</v>
      </c>
      <c r="AG7" s="81">
        <f>+$I$16</f>
        <v>10770.635166412547</v>
      </c>
      <c r="AI7" s="81">
        <f t="shared" ref="AI7:AI16" si="4">+$I$11/((1+AE7)^Num_Years)+NPV(AE7,$I$34:$R$34)</f>
        <v>10413.30590244749</v>
      </c>
    </row>
    <row r="8" spans="2:36" x14ac:dyDescent="0.25">
      <c r="B8" s="22"/>
      <c r="C8" s="8" t="s">
        <v>4</v>
      </c>
      <c r="D8" s="41">
        <v>0.4</v>
      </c>
      <c r="E8" s="13"/>
      <c r="F8" s="51" t="s">
        <v>20</v>
      </c>
      <c r="G8" s="52"/>
      <c r="H8" s="52"/>
      <c r="I8" s="52"/>
      <c r="J8" s="28"/>
      <c r="K8" s="24"/>
      <c r="L8" s="24"/>
      <c r="M8" s="24"/>
      <c r="N8" s="24"/>
      <c r="O8" s="24"/>
      <c r="P8" s="24"/>
      <c r="Q8" s="24"/>
      <c r="R8" s="24"/>
      <c r="U8" s="35">
        <f>+U7+10%</f>
        <v>0.1</v>
      </c>
      <c r="V8" s="35">
        <f t="shared" ref="V8:V16" si="5">+U8/(1-U8)</f>
        <v>0.11111111111111112</v>
      </c>
      <c r="W8" s="37">
        <f t="shared" si="0"/>
        <v>0.76672298953484386</v>
      </c>
      <c r="X8" s="36">
        <v>1.4999999999999999E-2</v>
      </c>
      <c r="Y8" s="34"/>
      <c r="Z8" s="35">
        <f t="shared" si="1"/>
        <v>4.1200000000000001E-2</v>
      </c>
      <c r="AA8" s="35">
        <f t="shared" si="2"/>
        <v>2.4719999999999999E-2</v>
      </c>
      <c r="AB8" s="34"/>
      <c r="AC8" s="35">
        <f t="shared" si="3"/>
        <v>7.987060926743908E-2</v>
      </c>
      <c r="AD8" s="34"/>
      <c r="AE8" s="35">
        <f t="shared" ref="AE8:AE16" si="6">+(1-U8)*AC8+U8*AA8</f>
        <v>7.4355548340695174E-2</v>
      </c>
      <c r="AG8" s="16">
        <f t="shared" ref="AG8:AG16" si="7">+$I$16</f>
        <v>10770.635166412547</v>
      </c>
      <c r="AI8" s="16">
        <f t="shared" si="4"/>
        <v>10576.314161587823</v>
      </c>
    </row>
    <row r="9" spans="2:36" x14ac:dyDescent="0.25">
      <c r="B9" s="22"/>
      <c r="C9" s="24" t="s">
        <v>54</v>
      </c>
      <c r="D9" s="86">
        <v>10</v>
      </c>
      <c r="J9" s="28"/>
      <c r="K9" s="24"/>
      <c r="L9" s="24"/>
      <c r="M9" s="24"/>
      <c r="N9" s="24"/>
      <c r="O9" s="24"/>
      <c r="P9" s="24"/>
      <c r="Q9" s="24"/>
      <c r="R9" s="24"/>
      <c r="U9" s="35">
        <f t="shared" ref="U9:U16" si="8">+U8+10%</f>
        <v>0.2</v>
      </c>
      <c r="V9" s="35">
        <f t="shared" si="5"/>
        <v>0.25</v>
      </c>
      <c r="W9" s="37">
        <f t="shared" si="0"/>
        <v>0.82662322309225356</v>
      </c>
      <c r="X9" s="36">
        <v>0.02</v>
      </c>
      <c r="Y9" s="33"/>
      <c r="Z9" s="35">
        <f t="shared" si="1"/>
        <v>4.6200000000000005E-2</v>
      </c>
      <c r="AA9" s="35">
        <f t="shared" si="2"/>
        <v>2.7720000000000002E-2</v>
      </c>
      <c r="AB9" s="33"/>
      <c r="AC9" s="35">
        <f t="shared" si="3"/>
        <v>8.4063625616457749E-2</v>
      </c>
      <c r="AD9" s="33"/>
      <c r="AE9" s="35">
        <f t="shared" si="6"/>
        <v>7.2794900493166198E-2</v>
      </c>
      <c r="AG9" s="16">
        <f t="shared" si="7"/>
        <v>10770.635166412547</v>
      </c>
      <c r="AI9" s="16">
        <f t="shared" si="4"/>
        <v>10696.068226902844</v>
      </c>
    </row>
    <row r="10" spans="2:36" x14ac:dyDescent="0.25">
      <c r="B10" s="22"/>
      <c r="F10" s="13" t="s">
        <v>9</v>
      </c>
      <c r="G10" s="13"/>
      <c r="H10" s="13"/>
      <c r="I10" s="75">
        <v>12</v>
      </c>
      <c r="J10" s="28"/>
      <c r="K10" s="24"/>
      <c r="L10" s="24"/>
      <c r="M10" s="24"/>
      <c r="N10" s="24"/>
      <c r="O10" s="24"/>
      <c r="P10" s="24"/>
      <c r="Q10" s="24"/>
      <c r="R10" s="24"/>
      <c r="S10" s="22"/>
      <c r="U10" s="35">
        <f t="shared" si="8"/>
        <v>0.30000000000000004</v>
      </c>
      <c r="V10" s="35">
        <f t="shared" si="5"/>
        <v>0.42857142857142866</v>
      </c>
      <c r="W10" s="37">
        <f t="shared" si="0"/>
        <v>0.90363780909463742</v>
      </c>
      <c r="X10" s="36">
        <v>2.5000000000000001E-2</v>
      </c>
      <c r="Y10" s="33"/>
      <c r="Z10" s="35">
        <f t="shared" si="1"/>
        <v>5.1200000000000002E-2</v>
      </c>
      <c r="AA10" s="35">
        <f t="shared" si="2"/>
        <v>3.0720000000000001E-2</v>
      </c>
      <c r="AB10" s="33"/>
      <c r="AC10" s="35">
        <f t="shared" si="3"/>
        <v>8.9454646636624627E-2</v>
      </c>
      <c r="AD10" s="33"/>
      <c r="AE10" s="35">
        <f t="shared" si="6"/>
        <v>7.1834252645637239E-2</v>
      </c>
      <c r="AG10" s="16">
        <f t="shared" si="7"/>
        <v>10770.635166412547</v>
      </c>
      <c r="AI10" s="16">
        <f t="shared" si="4"/>
        <v>10770.635166412547</v>
      </c>
    </row>
    <row r="11" spans="2:36" x14ac:dyDescent="0.25">
      <c r="B11" s="22"/>
      <c r="C11" s="13" t="s">
        <v>12</v>
      </c>
      <c r="D11" s="42">
        <v>2.6200000000000001E-2</v>
      </c>
      <c r="F11" s="13" t="s">
        <v>10</v>
      </c>
      <c r="G11" s="11"/>
      <c r="H11" s="11"/>
      <c r="I11" s="14">
        <f>+Terminal_Multiple*R38</f>
        <v>10482.140972216221</v>
      </c>
      <c r="J11" s="28"/>
      <c r="K11" s="24"/>
      <c r="L11" s="24"/>
      <c r="M11" s="24"/>
      <c r="N11" s="24"/>
      <c r="O11" s="24"/>
      <c r="P11" s="24"/>
      <c r="Q11" s="24"/>
      <c r="R11" s="24"/>
      <c r="S11" s="22"/>
      <c r="U11" s="35">
        <f t="shared" si="8"/>
        <v>0.4</v>
      </c>
      <c r="V11" s="35">
        <f t="shared" si="5"/>
        <v>0.66666666666666674</v>
      </c>
      <c r="W11" s="37">
        <f t="shared" si="0"/>
        <v>1.0063239237644825</v>
      </c>
      <c r="X11" s="36">
        <v>0.05</v>
      </c>
      <c r="Y11" s="33"/>
      <c r="Z11" s="35">
        <f t="shared" si="1"/>
        <v>7.6200000000000004E-2</v>
      </c>
      <c r="AA11" s="35">
        <f t="shared" si="2"/>
        <v>4.5720000000000004E-2</v>
      </c>
      <c r="AB11" s="33"/>
      <c r="AC11" s="35">
        <f t="shared" si="3"/>
        <v>9.6642674663513783E-2</v>
      </c>
      <c r="AD11" s="33"/>
      <c r="AE11" s="35">
        <f t="shared" si="6"/>
        <v>7.6273604798108269E-2</v>
      </c>
      <c r="AG11" s="16">
        <f t="shared" si="7"/>
        <v>10770.635166412547</v>
      </c>
      <c r="AI11" s="16">
        <f t="shared" si="4"/>
        <v>10431.448722988174</v>
      </c>
    </row>
    <row r="12" spans="2:36" x14ac:dyDescent="0.25">
      <c r="B12" s="22"/>
      <c r="C12" s="13" t="s">
        <v>13</v>
      </c>
      <c r="D12" s="42">
        <v>7.0000000000000007E-2</v>
      </c>
      <c r="F12" s="13"/>
      <c r="I12" s="76"/>
      <c r="J12" s="28"/>
      <c r="K12" s="24"/>
      <c r="L12" s="24"/>
      <c r="M12" s="24"/>
      <c r="N12" s="24"/>
      <c r="O12" s="24"/>
      <c r="P12" s="24"/>
      <c r="Q12" s="24"/>
      <c r="R12" s="24"/>
      <c r="S12" s="22"/>
      <c r="U12" s="35">
        <f t="shared" si="8"/>
        <v>0.5</v>
      </c>
      <c r="V12" s="35">
        <f t="shared" si="5"/>
        <v>1</v>
      </c>
      <c r="W12" s="37">
        <f t="shared" si="0"/>
        <v>1.150084484302266</v>
      </c>
      <c r="X12" s="36">
        <v>0.06</v>
      </c>
      <c r="Y12" s="33"/>
      <c r="Z12" s="35">
        <f t="shared" si="1"/>
        <v>8.6199999999999999E-2</v>
      </c>
      <c r="AA12" s="35">
        <f t="shared" si="2"/>
        <v>5.1719999999999995E-2</v>
      </c>
      <c r="AB12" s="33"/>
      <c r="AC12" s="35">
        <f t="shared" si="3"/>
        <v>0.10670591390115862</v>
      </c>
      <c r="AD12" s="33"/>
      <c r="AE12" s="35">
        <f t="shared" si="6"/>
        <v>7.9212956950579311E-2</v>
      </c>
      <c r="AG12" s="16">
        <f t="shared" si="7"/>
        <v>10770.635166412547</v>
      </c>
      <c r="AI12" s="16">
        <f t="shared" si="4"/>
        <v>10214.2898590484</v>
      </c>
    </row>
    <row r="13" spans="2:36" x14ac:dyDescent="0.25">
      <c r="B13" s="22"/>
      <c r="C13" s="13"/>
      <c r="D13" s="77"/>
      <c r="J13" s="28"/>
      <c r="K13" s="24"/>
      <c r="L13" s="24"/>
      <c r="M13" s="24"/>
      <c r="N13" s="24"/>
      <c r="O13" s="24"/>
      <c r="P13" s="24"/>
      <c r="Q13" s="24"/>
      <c r="R13" s="24"/>
      <c r="S13" s="22"/>
      <c r="U13" s="35">
        <f t="shared" si="8"/>
        <v>0.6</v>
      </c>
      <c r="V13" s="35">
        <f t="shared" si="5"/>
        <v>1.4999999999999998</v>
      </c>
      <c r="W13" s="37">
        <f t="shared" si="0"/>
        <v>1.3657253251089407</v>
      </c>
      <c r="X13" s="36">
        <v>7.0000000000000007E-2</v>
      </c>
      <c r="Y13" s="33"/>
      <c r="Z13" s="35">
        <f t="shared" si="1"/>
        <v>9.6200000000000008E-2</v>
      </c>
      <c r="AA13" s="35">
        <f t="shared" si="2"/>
        <v>5.772E-2</v>
      </c>
      <c r="AB13" s="33"/>
      <c r="AC13" s="35">
        <f t="shared" si="3"/>
        <v>0.12180077275762587</v>
      </c>
      <c r="AD13" s="33"/>
      <c r="AE13" s="35">
        <f t="shared" si="6"/>
        <v>8.3352309103050345E-2</v>
      </c>
      <c r="AG13" s="16">
        <f t="shared" si="7"/>
        <v>10770.635166412547</v>
      </c>
      <c r="AI13" s="16">
        <f t="shared" si="4"/>
        <v>9918.1081713407348</v>
      </c>
    </row>
    <row r="14" spans="2:36" x14ac:dyDescent="0.25">
      <c r="B14" s="22"/>
      <c r="C14" s="12" t="s">
        <v>50</v>
      </c>
      <c r="D14" s="74">
        <v>0.71880280268891616</v>
      </c>
      <c r="F14" s="15" t="s">
        <v>56</v>
      </c>
      <c r="G14" s="13"/>
      <c r="H14" s="13"/>
      <c r="I14" s="16">
        <f>+I11/((1+Discount_Rate)^Num_Years)</f>
        <v>5238.0987211693691</v>
      </c>
      <c r="J14" s="28"/>
      <c r="K14" s="24"/>
      <c r="L14" s="24"/>
      <c r="M14" s="24"/>
      <c r="N14" s="24"/>
      <c r="O14" s="24"/>
      <c r="P14" s="24"/>
      <c r="Q14" s="24"/>
      <c r="R14" s="24"/>
      <c r="S14" s="22"/>
      <c r="U14" s="35">
        <f t="shared" si="8"/>
        <v>0.7</v>
      </c>
      <c r="V14" s="35">
        <f t="shared" si="5"/>
        <v>2.333333333333333</v>
      </c>
      <c r="W14" s="37">
        <f t="shared" si="0"/>
        <v>1.7251267264533985</v>
      </c>
      <c r="X14" s="36">
        <v>0.08</v>
      </c>
      <c r="Y14" s="33"/>
      <c r="Z14" s="35">
        <f t="shared" si="1"/>
        <v>0.1062</v>
      </c>
      <c r="AA14" s="35">
        <f t="shared" si="2"/>
        <v>6.3719999999999999E-2</v>
      </c>
      <c r="AB14" s="33"/>
      <c r="AC14" s="35">
        <f t="shared" si="3"/>
        <v>0.14695887085173792</v>
      </c>
      <c r="AD14" s="33"/>
      <c r="AE14" s="35">
        <f t="shared" si="6"/>
        <v>8.8691661255521387E-2</v>
      </c>
      <c r="AG14" s="16">
        <f t="shared" si="7"/>
        <v>10770.635166412547</v>
      </c>
      <c r="AI14" s="16">
        <f t="shared" si="4"/>
        <v>9552.0052739566836</v>
      </c>
    </row>
    <row r="15" spans="2:36" x14ac:dyDescent="0.25">
      <c r="B15" s="22"/>
      <c r="F15" s="17" t="s">
        <v>57</v>
      </c>
      <c r="G15" s="18"/>
      <c r="H15" s="18"/>
      <c r="I15" s="19">
        <f>NPV(Discount_Rate,I34:R34)</f>
        <v>5532.5364452431786</v>
      </c>
      <c r="J15" s="80"/>
      <c r="K15" s="24"/>
      <c r="L15" s="24"/>
      <c r="M15" s="24"/>
      <c r="N15" s="24"/>
      <c r="O15" s="24"/>
      <c r="P15" s="24"/>
      <c r="Q15" s="24"/>
      <c r="R15" s="24"/>
      <c r="S15" s="22"/>
      <c r="U15" s="35">
        <f t="shared" si="8"/>
        <v>0.79999999999999993</v>
      </c>
      <c r="V15" s="35">
        <f t="shared" si="5"/>
        <v>3.9999999999999982</v>
      </c>
      <c r="W15" s="37">
        <f t="shared" si="0"/>
        <v>2.4439295291423142</v>
      </c>
      <c r="X15" s="36">
        <v>0.09</v>
      </c>
      <c r="Y15" s="33"/>
      <c r="Z15" s="35">
        <f t="shared" si="1"/>
        <v>0.1162</v>
      </c>
      <c r="AA15" s="35">
        <f t="shared" si="2"/>
        <v>6.971999999999999E-2</v>
      </c>
      <c r="AB15" s="33"/>
      <c r="AC15" s="35">
        <f t="shared" si="3"/>
        <v>0.197275067039962</v>
      </c>
      <c r="AD15" s="33"/>
      <c r="AE15" s="35">
        <f t="shared" si="6"/>
        <v>9.5231013407992393E-2</v>
      </c>
      <c r="AG15" s="16">
        <f t="shared" si="7"/>
        <v>10770.635166412547</v>
      </c>
      <c r="AI15" s="16">
        <f t="shared" si="4"/>
        <v>9126.7844769713229</v>
      </c>
    </row>
    <row r="16" spans="2:36" x14ac:dyDescent="0.25">
      <c r="B16" s="22"/>
      <c r="C16" s="12" t="s">
        <v>51</v>
      </c>
      <c r="D16" s="79">
        <v>0.30000000000000004</v>
      </c>
      <c r="F16" s="20" t="s">
        <v>11</v>
      </c>
      <c r="G16" s="13"/>
      <c r="H16" s="13"/>
      <c r="I16" s="21">
        <f>SUM(I14:I15)</f>
        <v>10770.635166412547</v>
      </c>
      <c r="J16" s="28"/>
      <c r="K16" s="24"/>
      <c r="L16" s="24"/>
      <c r="M16" s="24"/>
      <c r="N16" s="24"/>
      <c r="O16" s="24"/>
      <c r="P16" s="24"/>
      <c r="Q16" s="24"/>
      <c r="R16" s="24"/>
      <c r="S16" s="22"/>
      <c r="U16" s="35">
        <f t="shared" si="8"/>
        <v>0.89999999999999991</v>
      </c>
      <c r="V16" s="35">
        <f t="shared" si="5"/>
        <v>8.9999999999999911</v>
      </c>
      <c r="W16" s="37">
        <f t="shared" si="0"/>
        <v>4.6003379372090594</v>
      </c>
      <c r="X16" s="36">
        <v>0.1</v>
      </c>
      <c r="Y16" s="33"/>
      <c r="Z16" s="35">
        <f t="shared" si="1"/>
        <v>0.12620000000000001</v>
      </c>
      <c r="AA16" s="35">
        <f t="shared" si="2"/>
        <v>7.5719999999999996E-2</v>
      </c>
      <c r="AB16" s="33"/>
      <c r="AC16" s="35">
        <f t="shared" si="3"/>
        <v>0.3482236556046342</v>
      </c>
      <c r="AD16" s="33"/>
      <c r="AE16" s="35">
        <f t="shared" si="6"/>
        <v>0.10297036556046343</v>
      </c>
      <c r="AG16" s="16">
        <f t="shared" si="7"/>
        <v>10770.635166412547</v>
      </c>
      <c r="AI16" s="16">
        <f t="shared" si="4"/>
        <v>8654.357686503623</v>
      </c>
    </row>
    <row r="17" spans="2:19" x14ac:dyDescent="0.25">
      <c r="B17" s="22"/>
      <c r="C17" s="13" t="s">
        <v>8</v>
      </c>
      <c r="D17" s="78">
        <f>INDEX($U$6:$AE$16,MATCH($D$16,$U$6:$U$16,0),MATCH("WACC:",$U$6:$AE$6,0))</f>
        <v>7.1834252645637239E-2</v>
      </c>
      <c r="F17" s="11"/>
      <c r="G17" s="11"/>
      <c r="H17" s="11"/>
      <c r="I17" s="11"/>
      <c r="J17" s="28"/>
      <c r="K17" s="11"/>
      <c r="L17" s="38"/>
      <c r="M17" s="38"/>
      <c r="N17" s="11"/>
      <c r="O17" s="24"/>
      <c r="P17" s="24"/>
      <c r="Q17" s="24"/>
      <c r="R17" s="24"/>
      <c r="S17" s="22"/>
    </row>
    <row r="18" spans="2:19" x14ac:dyDescent="0.25">
      <c r="B18" s="22"/>
      <c r="F18" s="11"/>
      <c r="G18" s="11"/>
      <c r="H18" s="11"/>
      <c r="I18" s="11"/>
      <c r="J18" s="28"/>
      <c r="K18" s="11"/>
      <c r="L18" s="38"/>
      <c r="M18" s="38"/>
      <c r="N18" s="11"/>
      <c r="O18" s="24"/>
      <c r="P18" s="24"/>
      <c r="Q18" s="24"/>
      <c r="R18" s="24"/>
      <c r="S18" s="22"/>
    </row>
    <row r="19" spans="2:19" x14ac:dyDescent="0.25">
      <c r="B19" s="43"/>
      <c r="C19" s="53"/>
      <c r="D19" s="54"/>
      <c r="E19" s="57" t="s">
        <v>36</v>
      </c>
      <c r="F19" s="58"/>
      <c r="G19" s="57"/>
      <c r="H19" s="60"/>
      <c r="I19" s="57" t="s">
        <v>35</v>
      </c>
      <c r="J19" s="57"/>
      <c r="K19" s="57"/>
      <c r="L19" s="57"/>
      <c r="M19" s="57"/>
      <c r="N19" s="59"/>
      <c r="O19" s="59"/>
      <c r="P19" s="59"/>
      <c r="Q19" s="59"/>
      <c r="R19" s="59"/>
    </row>
    <row r="20" spans="2:19" x14ac:dyDescent="0.25">
      <c r="B20" s="46" t="s">
        <v>16</v>
      </c>
      <c r="C20" s="46"/>
      <c r="D20" s="55" t="s">
        <v>62</v>
      </c>
      <c r="E20" s="56" t="s">
        <v>21</v>
      </c>
      <c r="F20" s="56" t="s">
        <v>22</v>
      </c>
      <c r="G20" s="56" t="s">
        <v>23</v>
      </c>
      <c r="H20" s="61" t="s">
        <v>24</v>
      </c>
      <c r="I20" s="56" t="s">
        <v>25</v>
      </c>
      <c r="J20" s="56" t="s">
        <v>26</v>
      </c>
      <c r="K20" s="56" t="s">
        <v>27</v>
      </c>
      <c r="L20" s="56" t="s">
        <v>28</v>
      </c>
      <c r="M20" s="56" t="s">
        <v>29</v>
      </c>
      <c r="N20" s="56" t="s">
        <v>30</v>
      </c>
      <c r="O20" s="56" t="s">
        <v>31</v>
      </c>
      <c r="P20" s="56" t="s">
        <v>32</v>
      </c>
      <c r="Q20" s="56" t="s">
        <v>33</v>
      </c>
      <c r="R20" s="56" t="s">
        <v>34</v>
      </c>
    </row>
    <row r="22" spans="2:19" x14ac:dyDescent="0.25">
      <c r="C22" s="23" t="s">
        <v>1</v>
      </c>
      <c r="D22" s="62" t="s">
        <v>38</v>
      </c>
      <c r="E22" s="82">
        <v>173.78100000000001</v>
      </c>
      <c r="F22" s="82">
        <v>272.27700000000004</v>
      </c>
      <c r="G22" s="82">
        <v>585.97900000000004</v>
      </c>
      <c r="H22" s="82">
        <v>872.423</v>
      </c>
      <c r="I22" s="82">
        <v>1176.8697723647181</v>
      </c>
      <c r="J22" s="82">
        <v>1553.258794387468</v>
      </c>
      <c r="K22" s="82">
        <v>1998.0287253028318</v>
      </c>
      <c r="L22" s="82">
        <v>2554.2752700963779</v>
      </c>
      <c r="M22" s="82">
        <v>3174.8281929278291</v>
      </c>
      <c r="N22" s="82">
        <v>3853.1789570082601</v>
      </c>
      <c r="O22" s="82">
        <v>4552.2709436774003</v>
      </c>
      <c r="P22" s="82">
        <v>5371.6255652718228</v>
      </c>
      <c r="Q22" s="82">
        <v>1662.1122827613299</v>
      </c>
      <c r="R22" s="82">
        <v>1827.5715763376229</v>
      </c>
    </row>
    <row r="23" spans="2:19" x14ac:dyDescent="0.25">
      <c r="C23" s="25"/>
      <c r="D23" s="3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</row>
    <row r="24" spans="2:19" x14ac:dyDescent="0.25">
      <c r="C24" t="s">
        <v>3</v>
      </c>
      <c r="D24" s="62" t="s">
        <v>38</v>
      </c>
      <c r="E24" s="83">
        <v>57.789000000000016</v>
      </c>
      <c r="F24" s="83">
        <v>127.83100000000002</v>
      </c>
      <c r="G24" s="83">
        <v>197.84399999999999</v>
      </c>
      <c r="H24" s="83">
        <v>340.31200000000001</v>
      </c>
      <c r="I24" s="83">
        <v>348.6808794070073</v>
      </c>
      <c r="J24" s="83">
        <v>696.99982162709557</v>
      </c>
      <c r="K24" s="83">
        <v>911.70187072726958</v>
      </c>
      <c r="L24" s="83">
        <v>1169.9112012652834</v>
      </c>
      <c r="M24" s="83">
        <v>1453.2267549794219</v>
      </c>
      <c r="N24" s="83">
        <v>1767.9903297173139</v>
      </c>
      <c r="O24" s="83">
        <v>2064.1792328893334</v>
      </c>
      <c r="P24" s="83">
        <v>2432.7592062341537</v>
      </c>
      <c r="Q24" s="83">
        <v>677.4104071072237</v>
      </c>
      <c r="R24" s="83">
        <v>749.09409497007391</v>
      </c>
    </row>
    <row r="25" spans="2:19" x14ac:dyDescent="0.25">
      <c r="C25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2:19" x14ac:dyDescent="0.25">
      <c r="C26" s="26" t="s">
        <v>58</v>
      </c>
      <c r="D26" s="62" t="s">
        <v>38</v>
      </c>
      <c r="E26" s="29">
        <f t="shared" ref="E26:R26" si="9">-E24*Tax_Rate</f>
        <v>-23.115600000000008</v>
      </c>
      <c r="F26" s="29">
        <f t="shared" si="9"/>
        <v>-51.132400000000011</v>
      </c>
      <c r="G26" s="29">
        <f t="shared" si="9"/>
        <v>-79.137600000000006</v>
      </c>
      <c r="H26" s="29">
        <f t="shared" si="9"/>
        <v>-136.12480000000002</v>
      </c>
      <c r="I26" s="29">
        <f t="shared" si="9"/>
        <v>-139.47235176280293</v>
      </c>
      <c r="J26" s="29">
        <f t="shared" si="9"/>
        <v>-278.79992865083824</v>
      </c>
      <c r="K26" s="29">
        <f t="shared" si="9"/>
        <v>-364.68074829090784</v>
      </c>
      <c r="L26" s="29">
        <f t="shared" si="9"/>
        <v>-467.96448050611338</v>
      </c>
      <c r="M26" s="29">
        <f t="shared" si="9"/>
        <v>-581.29070199176874</v>
      </c>
      <c r="N26" s="29">
        <f t="shared" si="9"/>
        <v>-707.19613188692563</v>
      </c>
      <c r="O26" s="29">
        <f t="shared" si="9"/>
        <v>-825.67169315573346</v>
      </c>
      <c r="P26" s="29">
        <f t="shared" si="9"/>
        <v>-973.10368249366149</v>
      </c>
      <c r="Q26" s="29">
        <f t="shared" si="9"/>
        <v>-270.96416284288949</v>
      </c>
      <c r="R26" s="29">
        <f t="shared" si="9"/>
        <v>-299.63763798802955</v>
      </c>
    </row>
    <row r="27" spans="2:19" x14ac:dyDescent="0.25">
      <c r="C27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</row>
    <row r="28" spans="2:19" x14ac:dyDescent="0.25">
      <c r="C28" s="23" t="s">
        <v>14</v>
      </c>
      <c r="D28" s="62" t="s">
        <v>38</v>
      </c>
      <c r="E28" s="9">
        <f t="shared" ref="E28:R28" si="10">+E24+E26</f>
        <v>34.673400000000008</v>
      </c>
      <c r="F28" s="9">
        <f t="shared" si="10"/>
        <v>76.698599999999999</v>
      </c>
      <c r="G28" s="9">
        <f t="shared" si="10"/>
        <v>118.70639999999999</v>
      </c>
      <c r="H28" s="9">
        <f t="shared" si="10"/>
        <v>204.18719999999999</v>
      </c>
      <c r="I28" s="9">
        <f t="shared" si="10"/>
        <v>209.20852764420437</v>
      </c>
      <c r="J28" s="9">
        <f t="shared" si="10"/>
        <v>418.19989297625733</v>
      </c>
      <c r="K28" s="9">
        <f t="shared" si="10"/>
        <v>547.02112243636179</v>
      </c>
      <c r="L28" s="9">
        <f t="shared" si="10"/>
        <v>701.94672075916992</v>
      </c>
      <c r="M28" s="9">
        <f t="shared" si="10"/>
        <v>871.93605298765317</v>
      </c>
      <c r="N28" s="9">
        <f t="shared" si="10"/>
        <v>1060.7941978303884</v>
      </c>
      <c r="O28" s="9">
        <f t="shared" si="10"/>
        <v>1238.5075397336</v>
      </c>
      <c r="P28" s="9">
        <f t="shared" si="10"/>
        <v>1459.6555237404923</v>
      </c>
      <c r="Q28" s="9">
        <f t="shared" si="10"/>
        <v>406.44624426433421</v>
      </c>
      <c r="R28" s="9">
        <f t="shared" si="10"/>
        <v>449.45645698204436</v>
      </c>
    </row>
    <row r="29" spans="2:19" x14ac:dyDescent="0.25">
      <c r="C29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2:19" x14ac:dyDescent="0.25">
      <c r="C30" s="33" t="s">
        <v>60</v>
      </c>
      <c r="D30" s="62" t="s">
        <v>38</v>
      </c>
      <c r="E30" s="83">
        <v>23.683</v>
      </c>
      <c r="F30" s="83">
        <v>9.5009999999999977</v>
      </c>
      <c r="G30" s="83">
        <v>-56.682999999999993</v>
      </c>
      <c r="H30" s="83">
        <v>107.711</v>
      </c>
      <c r="I30" s="83">
        <v>265.28097908945887</v>
      </c>
      <c r="J30" s="83">
        <v>138.03979397193734</v>
      </c>
      <c r="K30" s="83">
        <v>137.91167235181695</v>
      </c>
      <c r="L30" s="83">
        <v>143.71142689067466</v>
      </c>
      <c r="M30" s="83">
        <v>147.69812554342263</v>
      </c>
      <c r="N30" s="83">
        <v>139.44133283529658</v>
      </c>
      <c r="O30" s="83">
        <v>150.28543165899623</v>
      </c>
      <c r="P30" s="83">
        <v>163.8506034402123</v>
      </c>
      <c r="Q30" s="83">
        <v>124.7080696153582</v>
      </c>
      <c r="R30" s="83">
        <v>128.52115271461133</v>
      </c>
    </row>
    <row r="31" spans="2:19" x14ac:dyDescent="0.25">
      <c r="C31" s="26" t="s">
        <v>61</v>
      </c>
      <c r="D31" s="62" t="s">
        <v>38</v>
      </c>
      <c r="E31" s="83">
        <v>-5.8120000000000012</v>
      </c>
      <c r="F31" s="83">
        <v>-3.5929999999999982</v>
      </c>
      <c r="G31" s="83">
        <v>-5.1569999999999903</v>
      </c>
      <c r="H31" s="83">
        <v>-80.957999999999998</v>
      </c>
      <c r="I31" s="83">
        <v>-29.845688280537306</v>
      </c>
      <c r="J31" s="83">
        <v>-55.387005220322635</v>
      </c>
      <c r="K31" s="83">
        <v>-50.647880239728494</v>
      </c>
      <c r="L31" s="83">
        <v>-63.147429789057462</v>
      </c>
      <c r="M31" s="83">
        <v>-71.02225189278073</v>
      </c>
      <c r="N31" s="83">
        <v>-79.094218082796687</v>
      </c>
      <c r="O31" s="83">
        <v>-80.586164714745891</v>
      </c>
      <c r="P31" s="83">
        <v>-96.982505294970039</v>
      </c>
      <c r="Q31" s="83">
        <v>423.58429452422894</v>
      </c>
      <c r="R31" s="83">
        <v>-20.443297002822124</v>
      </c>
    </row>
    <row r="32" spans="2:19" x14ac:dyDescent="0.25">
      <c r="C32" s="26" t="s">
        <v>59</v>
      </c>
      <c r="D32" s="62" t="s">
        <v>38</v>
      </c>
      <c r="E32" s="83">
        <v>-0.73099999999999998</v>
      </c>
      <c r="F32" s="83">
        <v>-1.2789999999999999</v>
      </c>
      <c r="G32" s="83">
        <v>-5.976</v>
      </c>
      <c r="H32" s="83">
        <v>-9.9760000000000009</v>
      </c>
      <c r="I32" s="83">
        <v>-14.122437268376617</v>
      </c>
      <c r="J32" s="83">
        <v>-20.192364327037083</v>
      </c>
      <c r="K32" s="83">
        <v>-27.972402154239646</v>
      </c>
      <c r="L32" s="83">
        <v>-38.314129051445668</v>
      </c>
      <c r="M32" s="83">
        <v>-50.797251086845264</v>
      </c>
      <c r="N32" s="83">
        <v>-65.504042269140427</v>
      </c>
      <c r="O32" s="83">
        <v>-81.940876986193203</v>
      </c>
      <c r="P32" s="83">
        <v>-102.06088574016464</v>
      </c>
      <c r="Q32" s="83">
        <v>-33.242245655226597</v>
      </c>
      <c r="R32" s="83">
        <v>-38.379003103090085</v>
      </c>
    </row>
    <row r="33" spans="3:18" x14ac:dyDescent="0.25">
      <c r="C33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</row>
    <row r="34" spans="3:18" x14ac:dyDescent="0.25">
      <c r="C34" s="31" t="s">
        <v>17</v>
      </c>
      <c r="D34" s="63" t="s">
        <v>38</v>
      </c>
      <c r="E34" s="84">
        <f t="shared" ref="E34:R34" si="11">+E28+E30+E31+E32</f>
        <v>51.813400000000009</v>
      </c>
      <c r="F34" s="84">
        <f t="shared" si="11"/>
        <v>81.327600000000004</v>
      </c>
      <c r="G34" s="84">
        <f t="shared" si="11"/>
        <v>50.890400000000007</v>
      </c>
      <c r="H34" s="84">
        <f t="shared" si="11"/>
        <v>220.96419999999998</v>
      </c>
      <c r="I34" s="84">
        <f t="shared" si="11"/>
        <v>430.52138118474926</v>
      </c>
      <c r="J34" s="84">
        <f t="shared" si="11"/>
        <v>480.66031740083503</v>
      </c>
      <c r="K34" s="84">
        <f t="shared" si="11"/>
        <v>606.31251239421067</v>
      </c>
      <c r="L34" s="84">
        <f t="shared" si="11"/>
        <v>744.19658880934139</v>
      </c>
      <c r="M34" s="84">
        <f t="shared" si="11"/>
        <v>897.8146755514498</v>
      </c>
      <c r="N34" s="84">
        <f t="shared" si="11"/>
        <v>1055.6372703137479</v>
      </c>
      <c r="O34" s="84">
        <f t="shared" si="11"/>
        <v>1226.2659296916572</v>
      </c>
      <c r="P34" s="84">
        <f t="shared" si="11"/>
        <v>1424.46273614557</v>
      </c>
      <c r="Q34" s="84">
        <f t="shared" si="11"/>
        <v>921.49636274869465</v>
      </c>
      <c r="R34" s="84">
        <f t="shared" si="11"/>
        <v>519.15530959074351</v>
      </c>
    </row>
    <row r="35" spans="3:18" x14ac:dyDescent="0.25">
      <c r="C35" s="39"/>
      <c r="D35" s="1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</row>
    <row r="36" spans="3:18" x14ac:dyDescent="0.25">
      <c r="C36" s="27" t="s">
        <v>18</v>
      </c>
      <c r="D36" s="64" t="s">
        <v>2</v>
      </c>
      <c r="E36" s="7" t="str">
        <f t="shared" ref="E36:R36" si="12">IFERROR(+E34/D34-1,"N/A")</f>
        <v>N/A</v>
      </c>
      <c r="F36" s="7">
        <f t="shared" si="12"/>
        <v>0.56962484608228747</v>
      </c>
      <c r="G36" s="7">
        <f t="shared" si="12"/>
        <v>-0.37425425070947616</v>
      </c>
      <c r="H36" s="7">
        <f t="shared" si="12"/>
        <v>3.3419623347428971</v>
      </c>
      <c r="I36" s="7">
        <f>IFERROR(+I34/H34-1,"N/A")</f>
        <v>0.94837616765407828</v>
      </c>
      <c r="J36" s="7">
        <f>IFERROR(+J34/I34-1,"N/A")</f>
        <v>0.11646096664957439</v>
      </c>
      <c r="K36" s="7">
        <f t="shared" si="12"/>
        <v>0.26141578666788723</v>
      </c>
      <c r="L36" s="7">
        <f t="shared" si="12"/>
        <v>0.22741420240636834</v>
      </c>
      <c r="M36" s="7">
        <f t="shared" si="12"/>
        <v>0.20642137985056586</v>
      </c>
      <c r="N36" s="7">
        <f t="shared" si="12"/>
        <v>0.17578526956619567</v>
      </c>
      <c r="O36" s="7">
        <f t="shared" si="12"/>
        <v>0.1616356907588119</v>
      </c>
      <c r="P36" s="7">
        <f t="shared" si="12"/>
        <v>0.16162628484977071</v>
      </c>
      <c r="Q36" s="7">
        <f t="shared" si="12"/>
        <v>-0.353091983829527</v>
      </c>
      <c r="R36" s="7">
        <f t="shared" si="12"/>
        <v>-0.43661708219642248</v>
      </c>
    </row>
    <row r="37" spans="3:18" x14ac:dyDescent="0.25"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3:18" x14ac:dyDescent="0.25">
      <c r="C38" s="32" t="s">
        <v>15</v>
      </c>
      <c r="D38" s="65" t="s">
        <v>38</v>
      </c>
      <c r="E38" s="85">
        <v>66.500000000000014</v>
      </c>
      <c r="F38" s="85">
        <v>135.65800000000002</v>
      </c>
      <c r="G38" s="85">
        <v>272.07299999999998</v>
      </c>
      <c r="H38" s="85">
        <v>426.40200000000004</v>
      </c>
      <c r="I38" s="85">
        <v>609.85835849646628</v>
      </c>
      <c r="J38" s="85">
        <v>830.93611559903286</v>
      </c>
      <c r="K38" s="85">
        <v>1045.5100430790865</v>
      </c>
      <c r="L38" s="85">
        <v>1309.519128155958</v>
      </c>
      <c r="M38" s="85">
        <v>1596.8213805228445</v>
      </c>
      <c r="N38" s="85">
        <v>1903.3281625526106</v>
      </c>
      <c r="O38" s="85">
        <v>2210.3611645483297</v>
      </c>
      <c r="P38" s="85">
        <v>2592.5063096743656</v>
      </c>
      <c r="Q38" s="85">
        <v>798.01497672258188</v>
      </c>
      <c r="R38" s="85">
        <v>873.51174768468513</v>
      </c>
    </row>
    <row r="39" spans="3:18" x14ac:dyDescent="0.25">
      <c r="C39" s="30" t="s">
        <v>19</v>
      </c>
      <c r="D39" s="64" t="s">
        <v>2</v>
      </c>
      <c r="E39" s="7" t="str">
        <f>IFERROR(+E38/D38-1,"N/A")</f>
        <v>N/A</v>
      </c>
      <c r="F39" s="7">
        <f t="shared" ref="F39:R39" si="13">IFERROR(+F38/E38-1,"N/A")</f>
        <v>1.0399699248120298</v>
      </c>
      <c r="G39" s="7">
        <f t="shared" si="13"/>
        <v>1.0055802090551236</v>
      </c>
      <c r="H39" s="7">
        <f t="shared" si="13"/>
        <v>0.56723379387149797</v>
      </c>
      <c r="I39" s="7">
        <f>IFERROR(+I38/H38-1,"N/A")</f>
        <v>0.43024272516654749</v>
      </c>
      <c r="J39" s="7">
        <f>IFERROR(+J38/I38-1,"N/A")</f>
        <v>0.36250672639399029</v>
      </c>
      <c r="K39" s="7">
        <f t="shared" si="13"/>
        <v>0.25823155769967276</v>
      </c>
      <c r="L39" s="7">
        <f t="shared" si="13"/>
        <v>0.25251702441743151</v>
      </c>
      <c r="M39" s="7">
        <f t="shared" si="13"/>
        <v>0.21939523156982088</v>
      </c>
      <c r="N39" s="7">
        <f t="shared" si="13"/>
        <v>0.19194806993967428</v>
      </c>
      <c r="O39" s="7">
        <f t="shared" si="13"/>
        <v>0.16131374927166942</v>
      </c>
      <c r="P39" s="7">
        <f t="shared" si="13"/>
        <v>0.17288810139049127</v>
      </c>
      <c r="Q39" s="7">
        <f t="shared" si="13"/>
        <v>-0.69218397897638395</v>
      </c>
      <c r="R39" s="7">
        <f t="shared" si="13"/>
        <v>9.4605706865509953E-2</v>
      </c>
    </row>
  </sheetData>
  <dataValidations count="1">
    <dataValidation type="list" allowBlank="1" showInputMessage="1" showErrorMessage="1" sqref="D16">
      <formula1>$U$7:$U$16</formula1>
    </dataValidation>
  </dataValidations>
  <pageMargins left="0.7" right="0.7" top="0.75" bottom="0.75" header="0.3" footer="0.3"/>
  <pageSetup scale="41" orientation="portrait" r:id="rId1"/>
  <colBreaks count="1" manualBreakCount="1">
    <brk id="19" max="4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Debt-Equity-Enterprise-Value</vt:lpstr>
      <vt:lpstr>Discount_Rate</vt:lpstr>
      <vt:lpstr>Equity_Risk_Premium</vt:lpstr>
      <vt:lpstr>Num_Years</vt:lpstr>
      <vt:lpstr>'Debt-Equity-Enterprise-Value'!Print_Area</vt:lpstr>
      <vt:lpstr>Risk_Free_Rate</vt:lpstr>
      <vt:lpstr>Tax_Rate</vt:lpstr>
      <vt:lpstr>Terminal_Growth_Rate</vt:lpstr>
      <vt:lpstr>Terminal_Multiple</vt:lpstr>
      <vt:lpstr>Unlevered_Beta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BIWS</dc:creator>
  <cp:lastModifiedBy>BIWS</cp:lastModifiedBy>
  <cp:lastPrinted>2014-08-21T11:35:06Z</cp:lastPrinted>
  <dcterms:created xsi:type="dcterms:W3CDTF">2014-03-07T00:48:59Z</dcterms:created>
  <dcterms:modified xsi:type="dcterms:W3CDTF">2016-09-09T18:47:36Z</dcterms:modified>
</cp:coreProperties>
</file>