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 (BIWS)\BIWS-All-Courses\60-FIG-2016-Edition\Banks-02-Shawbrook-Operating-Model\Banks-02-12-Dividends-Stock-Issuances\"/>
    </mc:Choice>
  </mc:AlternateContent>
  <bookViews>
    <workbookView xWindow="120" yWindow="168" windowWidth="14064" windowHeight="6756"/>
  </bookViews>
  <sheets>
    <sheet name="Op-Model" sheetId="22" r:id="rId1"/>
    <sheet name="Loans" sheetId="36" r:id="rId2"/>
    <sheet name="1H-Stub" sheetId="34" r:id="rId3"/>
    <sheet name="Summary" sheetId="24" r:id="rId4"/>
    <sheet name="Capital" sheetId="23" r:id="rId5"/>
  </sheets>
  <definedNames>
    <definedName name="Basic_Shares">'Op-Model'!$J$8</definedName>
    <definedName name="CIQWBGuid" hidden="1">"fedf60f8-2cd9-49ba-9fee-91fc372c3a0f"</definedName>
    <definedName name="Circ_Ref">'Op-Model'!$D$20</definedName>
    <definedName name="Company_Name">'Op-Model'!$D$7</definedName>
    <definedName name="Comps_Range">#REF!</definedName>
    <definedName name="Forward_Year_1">#REF!</definedName>
    <definedName name="Forward_Year_2">#REF!</definedName>
    <definedName name="Forward_Year_3">#REF!</definedName>
    <definedName name="Hist_Year">'Op-Model'!$D$10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"08/30/2015 13:55:30"</definedName>
    <definedName name="IQ_QTD" hidden="1">750000</definedName>
    <definedName name="IQ_TODAY" hidden="1">0</definedName>
    <definedName name="IQ_YTDMONTH" hidden="1">130000</definedName>
    <definedName name="LTM">#REF!</definedName>
    <definedName name="LTM_Date">'Op-Model'!$D$11</definedName>
    <definedName name="LTM_Name">#REF!</definedName>
    <definedName name="Min_CET_1">'Op-Model'!$D$14</definedName>
    <definedName name="Next_Year">#REF!</definedName>
    <definedName name="_xlnm.Print_Area" localSheetId="2">'1H-Stub'!$A$1:$L$141</definedName>
    <definedName name="_xlnm.Print_Area" localSheetId="4">Capital!$A$1:$O$147</definedName>
    <definedName name="_xlnm.Print_Area" localSheetId="1">Loans!$A$1:$O$126</definedName>
    <definedName name="_xlnm.Print_Area" localSheetId="0">'Op-Model'!$A$1:$O$377</definedName>
    <definedName name="_xlnm.Print_Area" localSheetId="3">Summary!$A$1:$O$58</definedName>
    <definedName name="Risk_Free_Rate">#REF!</definedName>
    <definedName name="Scenario">'Op-Model'!$D$19</definedName>
    <definedName name="Share_Price">'Op-Model'!$J$9</definedName>
    <definedName name="Stub_Period">#REF!</definedName>
    <definedName name="Tax_Rate">'Op-Model'!$D$15</definedName>
    <definedName name="Ticker">'Op-Model'!$D$8</definedName>
    <definedName name="Units">'Op-Model'!$D$17</definedName>
    <definedName name="Valuation_Date">'Op-Model'!$D$12</definedName>
  </definedNames>
  <calcPr calcId="162913" calcMode="autoNoTable" iterate="1"/>
</workbook>
</file>

<file path=xl/calcChain.xml><?xml version="1.0" encoding="utf-8"?>
<calcChain xmlns="http://schemas.openxmlformats.org/spreadsheetml/2006/main">
  <c r="K260" i="22" l="1"/>
  <c r="L260" i="22"/>
  <c r="M260" i="22" s="1"/>
  <c r="N260" i="22" s="1"/>
  <c r="J260" i="22"/>
  <c r="L215" i="22"/>
  <c r="M215" i="22"/>
  <c r="N215" i="22"/>
  <c r="K215" i="22"/>
  <c r="N214" i="22"/>
  <c r="M214" i="22"/>
  <c r="L214" i="22"/>
  <c r="K214" i="22"/>
  <c r="N213" i="22"/>
  <c r="M213" i="22"/>
  <c r="L213" i="22"/>
  <c r="K213" i="22"/>
  <c r="N217" i="22"/>
  <c r="M217" i="22"/>
  <c r="L217" i="22"/>
  <c r="K217" i="22"/>
  <c r="J217" i="22"/>
  <c r="K211" i="22"/>
  <c r="L211" i="22"/>
  <c r="M211" i="22"/>
  <c r="N211" i="22"/>
  <c r="M210" i="22"/>
  <c r="N210" i="22" s="1"/>
  <c r="L210" i="22"/>
  <c r="K210" i="22"/>
  <c r="M209" i="22"/>
  <c r="N209" i="22" s="1"/>
  <c r="L209" i="22"/>
  <c r="J211" i="22"/>
  <c r="J215" i="22"/>
  <c r="J213" i="22"/>
  <c r="N200" i="22"/>
  <c r="M200" i="22"/>
  <c r="L200" i="22"/>
  <c r="K200" i="22"/>
  <c r="J200" i="22"/>
  <c r="N201" i="22"/>
  <c r="M201" i="22"/>
  <c r="L201" i="22"/>
  <c r="K201" i="22"/>
  <c r="J201" i="22"/>
  <c r="J343" i="22" l="1"/>
  <c r="K334" i="22"/>
  <c r="L334" i="22"/>
  <c r="M334" i="22"/>
  <c r="N334" i="22"/>
  <c r="K335" i="22"/>
  <c r="L335" i="22"/>
  <c r="M335" i="22"/>
  <c r="N335" i="22"/>
  <c r="K337" i="22"/>
  <c r="L337" i="22"/>
  <c r="M337" i="22"/>
  <c r="N337" i="22"/>
  <c r="J337" i="22"/>
  <c r="J335" i="22"/>
  <c r="J334" i="22"/>
  <c r="K329" i="22"/>
  <c r="L329" i="22"/>
  <c r="M329" i="22"/>
  <c r="N329" i="22"/>
  <c r="J329" i="22"/>
  <c r="K320" i="22"/>
  <c r="L320" i="22"/>
  <c r="M320" i="22"/>
  <c r="N320" i="22"/>
  <c r="J320" i="22"/>
  <c r="N314" i="22"/>
  <c r="M314" i="22"/>
  <c r="L314" i="22"/>
  <c r="K314" i="22"/>
  <c r="J314" i="22"/>
  <c r="K188" i="22"/>
  <c r="L188" i="22" s="1"/>
  <c r="M188" i="22" s="1"/>
  <c r="N188" i="22" s="1"/>
  <c r="K187" i="22"/>
  <c r="L187" i="22" s="1"/>
  <c r="M187" i="22" s="1"/>
  <c r="N187" i="22" s="1"/>
  <c r="L185" i="22"/>
  <c r="M185" i="22" s="1"/>
  <c r="N185" i="22" s="1"/>
  <c r="K185" i="22"/>
  <c r="L184" i="22"/>
  <c r="M184" i="22" s="1"/>
  <c r="N184" i="22" s="1"/>
  <c r="K184" i="22"/>
  <c r="J184" i="22"/>
  <c r="L181" i="22"/>
  <c r="M181" i="22" s="1"/>
  <c r="N181" i="22" s="1"/>
  <c r="K181" i="22"/>
  <c r="L180" i="22"/>
  <c r="M180" i="22" s="1"/>
  <c r="N180" i="22" s="1"/>
  <c r="K180" i="22"/>
  <c r="L182" i="22"/>
  <c r="M182" i="22" s="1"/>
  <c r="N182" i="22" s="1"/>
  <c r="K182" i="22"/>
  <c r="L178" i="22"/>
  <c r="M178" i="22" s="1"/>
  <c r="N178" i="22" s="1"/>
  <c r="K178" i="22"/>
  <c r="N251" i="22" l="1"/>
  <c r="M251" i="22"/>
  <c r="L251" i="22"/>
  <c r="K251" i="22"/>
  <c r="J251" i="22"/>
  <c r="N245" i="22"/>
  <c r="M245" i="22"/>
  <c r="L245" i="22"/>
  <c r="K245" i="22"/>
  <c r="J245" i="22"/>
  <c r="N237" i="22"/>
  <c r="M237" i="22"/>
  <c r="L237" i="22"/>
  <c r="K237" i="22"/>
  <c r="J237" i="22"/>
  <c r="N148" i="22"/>
  <c r="M148" i="22"/>
  <c r="L148" i="22"/>
  <c r="K148" i="22"/>
  <c r="J148" i="22"/>
  <c r="K146" i="22"/>
  <c r="L146" i="22" s="1"/>
  <c r="M146" i="22" s="1"/>
  <c r="N146" i="22" s="1"/>
  <c r="K145" i="22"/>
  <c r="L145" i="22" s="1"/>
  <c r="M145" i="22" s="1"/>
  <c r="N145" i="22" s="1"/>
  <c r="L144" i="22"/>
  <c r="M144" i="22" s="1"/>
  <c r="N144" i="22" s="1"/>
  <c r="K144" i="22"/>
  <c r="J141" i="22"/>
  <c r="K141" i="22" s="1"/>
  <c r="L141" i="22" s="1"/>
  <c r="M141" i="22" s="1"/>
  <c r="N141" i="22" s="1"/>
  <c r="K139" i="22"/>
  <c r="L139" i="22" s="1"/>
  <c r="M139" i="22" s="1"/>
  <c r="N139" i="22" s="1"/>
  <c r="L138" i="22"/>
  <c r="M138" i="22" s="1"/>
  <c r="N138" i="22" s="1"/>
  <c r="K138" i="22"/>
  <c r="J139" i="22"/>
  <c r="J138" i="22"/>
  <c r="K227" i="22"/>
  <c r="L227" i="22" s="1"/>
  <c r="K228" i="22"/>
  <c r="L228" i="22"/>
  <c r="M228" i="22"/>
  <c r="N228" i="22" s="1"/>
  <c r="K229" i="22"/>
  <c r="K230" i="22"/>
  <c r="J230" i="22"/>
  <c r="J229" i="22"/>
  <c r="J228" i="22"/>
  <c r="J227" i="22"/>
  <c r="L129" i="22"/>
  <c r="M129" i="22" s="1"/>
  <c r="N129" i="22" s="1"/>
  <c r="K129" i="22"/>
  <c r="J129" i="22"/>
  <c r="K125" i="22"/>
  <c r="L125" i="22" s="1"/>
  <c r="M125" i="22" s="1"/>
  <c r="N125" i="22" s="1"/>
  <c r="L124" i="22"/>
  <c r="M124" i="22" s="1"/>
  <c r="N124" i="22" s="1"/>
  <c r="K124" i="22"/>
  <c r="K259" i="22" l="1"/>
  <c r="J259" i="22"/>
  <c r="L230" i="22"/>
  <c r="L229" i="22"/>
  <c r="M227" i="22"/>
  <c r="M229" i="22" l="1"/>
  <c r="N227" i="22"/>
  <c r="M230" i="22"/>
  <c r="L259" i="22" l="1"/>
  <c r="N229" i="22"/>
  <c r="N230" i="22" s="1"/>
  <c r="N259" i="22" l="1"/>
  <c r="M259" i="22"/>
  <c r="I119" i="22"/>
  <c r="K96" i="22"/>
  <c r="L96" i="22" s="1"/>
  <c r="M96" i="22" s="1"/>
  <c r="N96" i="22" s="1"/>
  <c r="J96" i="22"/>
  <c r="K105" i="22"/>
  <c r="L105" i="22" s="1"/>
  <c r="M105" i="22" s="1"/>
  <c r="N105" i="22" s="1"/>
  <c r="L104" i="22"/>
  <c r="M104" i="22" s="1"/>
  <c r="N104" i="22" s="1"/>
  <c r="K104" i="22"/>
  <c r="J105" i="22"/>
  <c r="L111" i="22"/>
  <c r="M111" i="22" s="1"/>
  <c r="N111" i="22" s="1"/>
  <c r="K111" i="22"/>
  <c r="L117" i="22"/>
  <c r="M117" i="22" s="1"/>
  <c r="N117" i="22" s="1"/>
  <c r="K117" i="22"/>
  <c r="J117" i="22"/>
  <c r="L80" i="22" l="1"/>
  <c r="M80" i="22" s="1"/>
  <c r="N80" i="22" s="1"/>
  <c r="K80" i="22"/>
  <c r="L68" i="22"/>
  <c r="M68" i="22" s="1"/>
  <c r="N68" i="22" s="1"/>
  <c r="K68" i="22"/>
  <c r="J82" i="22"/>
  <c r="K82" i="22"/>
  <c r="L82" i="22" s="1"/>
  <c r="M82" i="22" s="1"/>
  <c r="N82" i="22" s="1"/>
  <c r="J80" i="22"/>
  <c r="J294" i="22" l="1"/>
  <c r="K294" i="22" s="1"/>
  <c r="J293" i="22"/>
  <c r="K293" i="22" s="1"/>
  <c r="L293" i="22" s="1"/>
  <c r="K279" i="22"/>
  <c r="L279" i="22" s="1"/>
  <c r="M279" i="22" s="1"/>
  <c r="N279" i="22" s="1"/>
  <c r="J279" i="22"/>
  <c r="L165" i="22"/>
  <c r="M165" i="22" s="1"/>
  <c r="N165" i="22" s="1"/>
  <c r="K165" i="22"/>
  <c r="J165" i="22"/>
  <c r="K164" i="22"/>
  <c r="L164" i="22" s="1"/>
  <c r="M164" i="22" s="1"/>
  <c r="N164" i="22" s="1"/>
  <c r="J164" i="22"/>
  <c r="L163" i="22"/>
  <c r="M163" i="22" s="1"/>
  <c r="N163" i="22" s="1"/>
  <c r="K163" i="22"/>
  <c r="K156" i="22"/>
  <c r="L156" i="22" s="1"/>
  <c r="M156" i="22" s="1"/>
  <c r="N156" i="22" s="1"/>
  <c r="J156" i="22"/>
  <c r="L155" i="22"/>
  <c r="M155" i="22" s="1"/>
  <c r="N155" i="22" s="1"/>
  <c r="K155" i="22"/>
  <c r="L154" i="22"/>
  <c r="M154" i="22" s="1"/>
  <c r="N154" i="22" s="1"/>
  <c r="K154" i="22"/>
  <c r="J154" i="22"/>
  <c r="M293" i="22" l="1"/>
  <c r="L294" i="22"/>
  <c r="M294" i="22" s="1"/>
  <c r="N294" i="22" s="1"/>
  <c r="N293" i="22" l="1"/>
  <c r="L118" i="36" l="1"/>
  <c r="M118" i="36" s="1"/>
  <c r="N118" i="36" s="1"/>
  <c r="K118" i="36"/>
  <c r="J118" i="36"/>
  <c r="J76" i="36" l="1"/>
  <c r="N108" i="36"/>
  <c r="M108" i="36"/>
  <c r="L108" i="36"/>
  <c r="K108" i="36"/>
  <c r="J108" i="36"/>
  <c r="N103" i="36"/>
  <c r="M103" i="36"/>
  <c r="L103" i="36"/>
  <c r="K103" i="36"/>
  <c r="J103" i="36"/>
  <c r="N98" i="36"/>
  <c r="M98" i="36"/>
  <c r="L98" i="36"/>
  <c r="K98" i="36"/>
  <c r="J98" i="36"/>
  <c r="N93" i="36"/>
  <c r="M93" i="36"/>
  <c r="L93" i="36"/>
  <c r="K93" i="36"/>
  <c r="J93" i="36"/>
  <c r="N88" i="36"/>
  <c r="M88" i="36"/>
  <c r="L88" i="36"/>
  <c r="K88" i="36"/>
  <c r="J88" i="36"/>
  <c r="N82" i="36"/>
  <c r="M82" i="36"/>
  <c r="L82" i="36"/>
  <c r="K82" i="36"/>
  <c r="J82" i="36"/>
  <c r="N60" i="36" l="1"/>
  <c r="M60" i="36"/>
  <c r="L60" i="36"/>
  <c r="K60" i="36"/>
  <c r="J60" i="36"/>
  <c r="N55" i="36"/>
  <c r="M55" i="36"/>
  <c r="L55" i="36"/>
  <c r="K55" i="36"/>
  <c r="J55" i="36"/>
  <c r="N50" i="36"/>
  <c r="M50" i="36"/>
  <c r="L50" i="36"/>
  <c r="K50" i="36"/>
  <c r="J50" i="36"/>
  <c r="N45" i="36"/>
  <c r="M45" i="36"/>
  <c r="L45" i="36"/>
  <c r="K45" i="36"/>
  <c r="J45" i="36"/>
  <c r="N40" i="36"/>
  <c r="M40" i="36"/>
  <c r="L40" i="36"/>
  <c r="K40" i="36"/>
  <c r="J40" i="36"/>
  <c r="N22" i="36" l="1"/>
  <c r="M22" i="36"/>
  <c r="L22" i="36"/>
  <c r="K22" i="36"/>
  <c r="J22" i="36"/>
  <c r="J16" i="36" s="1"/>
  <c r="K16" i="36" l="1"/>
  <c r="J28" i="36"/>
  <c r="J11" i="36" s="1"/>
  <c r="J26" i="36"/>
  <c r="J9" i="36" s="1"/>
  <c r="J29" i="36"/>
  <c r="J12" i="36" s="1"/>
  <c r="J27" i="36"/>
  <c r="J10" i="36" s="1"/>
  <c r="J25" i="36"/>
  <c r="L92" i="34"/>
  <c r="K92" i="34"/>
  <c r="J70" i="36" l="1"/>
  <c r="J69" i="36"/>
  <c r="J72" i="36"/>
  <c r="J71" i="36"/>
  <c r="L16" i="36"/>
  <c r="K25" i="36"/>
  <c r="K26" i="36"/>
  <c r="K9" i="36" s="1"/>
  <c r="K29" i="36"/>
  <c r="K12" i="36" s="1"/>
  <c r="K27" i="36"/>
  <c r="K10" i="36" s="1"/>
  <c r="K28" i="36"/>
  <c r="K11" i="36" s="1"/>
  <c r="J8" i="36"/>
  <c r="J30" i="36"/>
  <c r="C31" i="24"/>
  <c r="K71" i="36" l="1"/>
  <c r="K72" i="36"/>
  <c r="K69" i="36"/>
  <c r="J13" i="36"/>
  <c r="J68" i="36"/>
  <c r="J73" i="36" s="1"/>
  <c r="J79" i="36" s="1"/>
  <c r="J241" i="22" s="1"/>
  <c r="J311" i="22" s="1"/>
  <c r="K70" i="36"/>
  <c r="M16" i="36"/>
  <c r="L26" i="36"/>
  <c r="L9" i="36" s="1"/>
  <c r="L28" i="36"/>
  <c r="L11" i="36" s="1"/>
  <c r="L29" i="36"/>
  <c r="L12" i="36" s="1"/>
  <c r="L27" i="36"/>
  <c r="L10" i="36" s="1"/>
  <c r="L25" i="36"/>
  <c r="K8" i="36"/>
  <c r="K30" i="36"/>
  <c r="C116" i="22"/>
  <c r="C115" i="22"/>
  <c r="C109" i="22"/>
  <c r="C108" i="22"/>
  <c r="J318" i="22" l="1"/>
  <c r="J113" i="36"/>
  <c r="L71" i="36"/>
  <c r="L69" i="36"/>
  <c r="L72" i="36"/>
  <c r="K13" i="36"/>
  <c r="K68" i="36"/>
  <c r="K73" i="36" s="1"/>
  <c r="K79" i="36" s="1"/>
  <c r="K241" i="22" s="1"/>
  <c r="K311" i="22" s="1"/>
  <c r="J14" i="36"/>
  <c r="J77" i="36"/>
  <c r="L70" i="36"/>
  <c r="L8" i="36"/>
  <c r="L30" i="36"/>
  <c r="N16" i="36"/>
  <c r="M29" i="36"/>
  <c r="M12" i="36" s="1"/>
  <c r="M27" i="36"/>
  <c r="M10" i="36" s="1"/>
  <c r="M26" i="36"/>
  <c r="M9" i="36" s="1"/>
  <c r="M25" i="36"/>
  <c r="M28" i="36"/>
  <c r="M11" i="36" s="1"/>
  <c r="H102" i="22"/>
  <c r="H104" i="22" s="1"/>
  <c r="G102" i="22"/>
  <c r="G105" i="22" s="1"/>
  <c r="I102" i="22"/>
  <c r="I104" i="22" s="1"/>
  <c r="K318" i="22" l="1"/>
  <c r="M71" i="36"/>
  <c r="M70" i="36"/>
  <c r="J32" i="22"/>
  <c r="J34" i="22"/>
  <c r="J33" i="22"/>
  <c r="J35" i="22"/>
  <c r="J31" i="22"/>
  <c r="J80" i="36"/>
  <c r="J124" i="36"/>
  <c r="K77" i="36"/>
  <c r="K34" i="22" s="1"/>
  <c r="K113" i="36"/>
  <c r="J114" i="36"/>
  <c r="J272" i="22" s="1"/>
  <c r="J336" i="22" s="1"/>
  <c r="L13" i="36"/>
  <c r="M72" i="36"/>
  <c r="M69" i="36"/>
  <c r="L68" i="36"/>
  <c r="L73" i="36" s="1"/>
  <c r="L79" i="36" s="1"/>
  <c r="L241" i="22" s="1"/>
  <c r="L311" i="22" s="1"/>
  <c r="K14" i="36"/>
  <c r="M8" i="36"/>
  <c r="M30" i="36"/>
  <c r="N27" i="36"/>
  <c r="N10" i="36" s="1"/>
  <c r="N29" i="36"/>
  <c r="N12" i="36" s="1"/>
  <c r="N25" i="36"/>
  <c r="N26" i="36"/>
  <c r="N9" i="36" s="1"/>
  <c r="N28" i="36"/>
  <c r="N11" i="36" s="1"/>
  <c r="H105" i="22"/>
  <c r="I105" i="22"/>
  <c r="G104" i="22"/>
  <c r="I134" i="22"/>
  <c r="H134" i="22"/>
  <c r="G134" i="22"/>
  <c r="F134" i="22"/>
  <c r="E134" i="22"/>
  <c r="L113" i="36" l="1"/>
  <c r="L318" i="22"/>
  <c r="J36" i="22"/>
  <c r="K31" i="22"/>
  <c r="K32" i="22"/>
  <c r="K33" i="22"/>
  <c r="N71" i="36"/>
  <c r="N69" i="36"/>
  <c r="N70" i="36"/>
  <c r="N72" i="36"/>
  <c r="K35" i="22"/>
  <c r="J289" i="22"/>
  <c r="J322" i="22" s="1"/>
  <c r="J288" i="22"/>
  <c r="J122" i="36"/>
  <c r="J273" i="22"/>
  <c r="J274" i="22" s="1"/>
  <c r="J285" i="22" s="1"/>
  <c r="K114" i="36"/>
  <c r="L77" i="36"/>
  <c r="L33" i="22" s="1"/>
  <c r="K124" i="36"/>
  <c r="J115" i="36"/>
  <c r="K76" i="36"/>
  <c r="K80" i="36" s="1"/>
  <c r="K273" i="22" s="1"/>
  <c r="J123" i="36"/>
  <c r="J117" i="36"/>
  <c r="J125" i="36" s="1"/>
  <c r="M13" i="36"/>
  <c r="M318" i="22" s="1"/>
  <c r="M68" i="36"/>
  <c r="M73" i="36" s="1"/>
  <c r="M79" i="36" s="1"/>
  <c r="M241" i="22" s="1"/>
  <c r="M311" i="22" s="1"/>
  <c r="L14" i="36"/>
  <c r="N8" i="36"/>
  <c r="N30" i="36"/>
  <c r="B2" i="36"/>
  <c r="E124" i="36"/>
  <c r="E121" i="36"/>
  <c r="G117" i="36"/>
  <c r="C111" i="36"/>
  <c r="C110" i="36"/>
  <c r="C109" i="36"/>
  <c r="I108" i="36"/>
  <c r="H108" i="36"/>
  <c r="G108" i="36"/>
  <c r="C106" i="36"/>
  <c r="C105" i="36"/>
  <c r="C104" i="36"/>
  <c r="I103" i="36"/>
  <c r="H103" i="36"/>
  <c r="G103" i="36"/>
  <c r="C101" i="36"/>
  <c r="C100" i="36"/>
  <c r="C99" i="36"/>
  <c r="I98" i="36"/>
  <c r="H98" i="36"/>
  <c r="G98" i="36"/>
  <c r="C96" i="36"/>
  <c r="C95" i="36"/>
  <c r="C94" i="36"/>
  <c r="I93" i="36"/>
  <c r="H93" i="36"/>
  <c r="G93" i="36"/>
  <c r="C91" i="36"/>
  <c r="C90" i="36"/>
  <c r="C89" i="36"/>
  <c r="I88" i="36"/>
  <c r="C88" i="36"/>
  <c r="C85" i="36"/>
  <c r="C84" i="36"/>
  <c r="C83" i="36"/>
  <c r="F79" i="36"/>
  <c r="G124" i="36" s="1"/>
  <c r="E79" i="36"/>
  <c r="F124" i="36" s="1"/>
  <c r="I73" i="36"/>
  <c r="I79" i="36" s="1"/>
  <c r="H73" i="36"/>
  <c r="H79" i="36" s="1"/>
  <c r="I124" i="36" s="1"/>
  <c r="G73" i="36"/>
  <c r="G79" i="36" s="1"/>
  <c r="H124" i="36" s="1"/>
  <c r="C72" i="36"/>
  <c r="C108" i="36" s="1"/>
  <c r="C71" i="36"/>
  <c r="C103" i="36" s="1"/>
  <c r="C70" i="36"/>
  <c r="C98" i="36" s="1"/>
  <c r="C69" i="36"/>
  <c r="C93" i="36" s="1"/>
  <c r="C68" i="36"/>
  <c r="D66" i="36"/>
  <c r="C63" i="36"/>
  <c r="C62" i="36"/>
  <c r="C61" i="36"/>
  <c r="I60" i="36"/>
  <c r="H60" i="36"/>
  <c r="G60" i="36"/>
  <c r="F60" i="36"/>
  <c r="E60" i="36"/>
  <c r="C60" i="36"/>
  <c r="C58" i="36"/>
  <c r="C57" i="36"/>
  <c r="C56" i="36"/>
  <c r="I55" i="36"/>
  <c r="H55" i="36"/>
  <c r="G55" i="36"/>
  <c r="F55" i="36"/>
  <c r="E55" i="36"/>
  <c r="C55" i="36"/>
  <c r="C53" i="36"/>
  <c r="C52" i="36"/>
  <c r="C51" i="36"/>
  <c r="I50" i="36"/>
  <c r="H50" i="36"/>
  <c r="G50" i="36"/>
  <c r="F50" i="36"/>
  <c r="E50" i="36"/>
  <c r="C50" i="36"/>
  <c r="C48" i="36"/>
  <c r="C47" i="36"/>
  <c r="C46" i="36"/>
  <c r="I45" i="36"/>
  <c r="H45" i="36"/>
  <c r="G45" i="36"/>
  <c r="F45" i="36"/>
  <c r="E45" i="36"/>
  <c r="C45" i="36"/>
  <c r="C43" i="36"/>
  <c r="C42" i="36"/>
  <c r="C41" i="36"/>
  <c r="C40" i="36"/>
  <c r="C39" i="36"/>
  <c r="I37" i="36"/>
  <c r="H37" i="36"/>
  <c r="G37" i="36"/>
  <c r="F37" i="36"/>
  <c r="E37" i="36"/>
  <c r="C37" i="36"/>
  <c r="I36" i="36"/>
  <c r="H36" i="36"/>
  <c r="G36" i="36"/>
  <c r="F36" i="36"/>
  <c r="E36" i="36"/>
  <c r="C36" i="36"/>
  <c r="I35" i="36"/>
  <c r="H35" i="36"/>
  <c r="G35" i="36"/>
  <c r="F35" i="36"/>
  <c r="E35" i="36"/>
  <c r="C35" i="36"/>
  <c r="I34" i="36"/>
  <c r="H34" i="36"/>
  <c r="G34" i="36"/>
  <c r="F34" i="36"/>
  <c r="E34" i="36"/>
  <c r="C34" i="36"/>
  <c r="C33" i="36"/>
  <c r="C29" i="36"/>
  <c r="C28" i="36"/>
  <c r="C27" i="36"/>
  <c r="C26" i="36"/>
  <c r="I25" i="36"/>
  <c r="I30" i="36" s="1"/>
  <c r="H25" i="36"/>
  <c r="H40" i="36" s="1"/>
  <c r="G25" i="36"/>
  <c r="G33" i="36" s="1"/>
  <c r="F25" i="36"/>
  <c r="F33" i="36" s="1"/>
  <c r="E25" i="36"/>
  <c r="E40" i="36" s="1"/>
  <c r="C25" i="36"/>
  <c r="I22" i="36"/>
  <c r="H22" i="36"/>
  <c r="G22" i="36"/>
  <c r="F22" i="36"/>
  <c r="E22" i="36"/>
  <c r="I13" i="36"/>
  <c r="I113" i="36" s="1"/>
  <c r="I114" i="36" s="1"/>
  <c r="H13" i="36"/>
  <c r="H113" i="36" s="1"/>
  <c r="H114" i="36" s="1"/>
  <c r="E13" i="36"/>
  <c r="E14" i="36" s="1"/>
  <c r="G8" i="36"/>
  <c r="G13" i="36" s="1"/>
  <c r="F8" i="36"/>
  <c r="I6" i="36"/>
  <c r="I66" i="36" s="1"/>
  <c r="B3" i="36"/>
  <c r="J86" i="22" l="1"/>
  <c r="J102" i="22" s="1"/>
  <c r="J321" i="22"/>
  <c r="J121" i="36"/>
  <c r="J234" i="22"/>
  <c r="J233" i="22"/>
  <c r="L34" i="22"/>
  <c r="L124" i="36"/>
  <c r="L31" i="22"/>
  <c r="L35" i="22"/>
  <c r="N13" i="36"/>
  <c r="N113" i="36" s="1"/>
  <c r="K36" i="22"/>
  <c r="L32" i="22"/>
  <c r="J270" i="22"/>
  <c r="J269" i="22"/>
  <c r="J267" i="22"/>
  <c r="J347" i="22" s="1"/>
  <c r="K115" i="36"/>
  <c r="K272" i="22"/>
  <c r="K336" i="22" s="1"/>
  <c r="L114" i="36"/>
  <c r="L272" i="22" s="1"/>
  <c r="L336" i="22" s="1"/>
  <c r="M77" i="36"/>
  <c r="M113" i="36"/>
  <c r="L76" i="36"/>
  <c r="L80" i="36" s="1"/>
  <c r="L273" i="22" s="1"/>
  <c r="K117" i="36"/>
  <c r="K125" i="36" s="1"/>
  <c r="K123" i="36"/>
  <c r="K122" i="36"/>
  <c r="N68" i="36"/>
  <c r="N73" i="36" s="1"/>
  <c r="N79" i="36" s="1"/>
  <c r="N241" i="22" s="1"/>
  <c r="N311" i="22" s="1"/>
  <c r="M14" i="36"/>
  <c r="F80" i="36"/>
  <c r="F118" i="36" s="1"/>
  <c r="E80" i="36"/>
  <c r="E33" i="36"/>
  <c r="I14" i="36"/>
  <c r="I33" i="36"/>
  <c r="G76" i="36"/>
  <c r="G80" i="36" s="1"/>
  <c r="E30" i="36"/>
  <c r="G88" i="36"/>
  <c r="F122" i="36"/>
  <c r="H6" i="36"/>
  <c r="J6" i="36"/>
  <c r="J66" i="36" s="1"/>
  <c r="G113" i="36"/>
  <c r="G114" i="36" s="1"/>
  <c r="H115" i="36" s="1"/>
  <c r="H121" i="36" s="1"/>
  <c r="H82" i="36"/>
  <c r="H14" i="36"/>
  <c r="H125" i="36"/>
  <c r="I115" i="36"/>
  <c r="I121" i="36" s="1"/>
  <c r="I125" i="36"/>
  <c r="H33" i="36"/>
  <c r="I40" i="36"/>
  <c r="H88" i="36"/>
  <c r="E122" i="36"/>
  <c r="E113" i="36"/>
  <c r="E114" i="36" s="1"/>
  <c r="E123" i="36" s="1"/>
  <c r="F30" i="36"/>
  <c r="G30" i="36"/>
  <c r="F13" i="36"/>
  <c r="H30" i="36"/>
  <c r="F40" i="36"/>
  <c r="I82" i="36"/>
  <c r="G40" i="36"/>
  <c r="N14" i="36" l="1"/>
  <c r="J319" i="22"/>
  <c r="J317" i="22"/>
  <c r="N318" i="22"/>
  <c r="J316" i="22"/>
  <c r="J38" i="22"/>
  <c r="J39" i="22"/>
  <c r="J235" i="22"/>
  <c r="K121" i="36"/>
  <c r="K234" i="22"/>
  <c r="K233" i="22"/>
  <c r="J101" i="22"/>
  <c r="J100" i="22"/>
  <c r="N77" i="36"/>
  <c r="N34" i="22" s="1"/>
  <c r="J55" i="22"/>
  <c r="M32" i="22"/>
  <c r="M35" i="22"/>
  <c r="M31" i="22"/>
  <c r="L36" i="22"/>
  <c r="M33" i="22"/>
  <c r="M34" i="22"/>
  <c r="L274" i="22"/>
  <c r="L285" i="22" s="1"/>
  <c r="L288" i="22"/>
  <c r="L289" i="22"/>
  <c r="L115" i="36"/>
  <c r="K274" i="22"/>
  <c r="K285" i="22" s="1"/>
  <c r="K288" i="22"/>
  <c r="K289" i="22"/>
  <c r="K322" i="22" s="1"/>
  <c r="M114" i="36"/>
  <c r="M76" i="36"/>
  <c r="M80" i="36" s="1"/>
  <c r="M273" i="22" s="1"/>
  <c r="L123" i="36"/>
  <c r="L117" i="36"/>
  <c r="L125" i="36" s="1"/>
  <c r="L122" i="36"/>
  <c r="M124" i="36"/>
  <c r="G125" i="36"/>
  <c r="K6" i="36"/>
  <c r="K66" i="36" s="1"/>
  <c r="H66" i="36"/>
  <c r="G6" i="36"/>
  <c r="G118" i="36"/>
  <c r="G123" i="36"/>
  <c r="H76" i="36"/>
  <c r="H80" i="36" s="1"/>
  <c r="G122" i="36"/>
  <c r="F14" i="36"/>
  <c r="F113" i="36"/>
  <c r="F114" i="36" s="1"/>
  <c r="G82" i="36"/>
  <c r="E125" i="36"/>
  <c r="G14" i="36"/>
  <c r="K86" i="22" l="1"/>
  <c r="K321" i="22"/>
  <c r="L322" i="22"/>
  <c r="L86" i="22"/>
  <c r="L102" i="22" s="1"/>
  <c r="L321" i="22"/>
  <c r="L121" i="36"/>
  <c r="L234" i="22"/>
  <c r="L233" i="22"/>
  <c r="K235" i="22"/>
  <c r="K102" i="22"/>
  <c r="N33" i="22"/>
  <c r="N32" i="22"/>
  <c r="N114" i="36"/>
  <c r="N272" i="22" s="1"/>
  <c r="N124" i="36"/>
  <c r="N31" i="22"/>
  <c r="N35" i="22"/>
  <c r="M36" i="22"/>
  <c r="K270" i="22"/>
  <c r="K269" i="22"/>
  <c r="K267" i="22"/>
  <c r="K347" i="22" s="1"/>
  <c r="M122" i="36"/>
  <c r="M115" i="36"/>
  <c r="M272" i="22"/>
  <c r="M336" i="22" s="1"/>
  <c r="L270" i="22"/>
  <c r="L269" i="22"/>
  <c r="L267" i="22"/>
  <c r="L347" i="22" s="1"/>
  <c r="N76" i="36"/>
  <c r="N80" i="36" s="1"/>
  <c r="N273" i="22" s="1"/>
  <c r="M117" i="36"/>
  <c r="M125" i="36" s="1"/>
  <c r="M123" i="36"/>
  <c r="L6" i="36"/>
  <c r="L66" i="36" s="1"/>
  <c r="G66" i="36"/>
  <c r="F6" i="36"/>
  <c r="F125" i="36"/>
  <c r="G115" i="36"/>
  <c r="G121" i="36" s="1"/>
  <c r="F123" i="36"/>
  <c r="F115" i="36"/>
  <c r="F121" i="36" s="1"/>
  <c r="H118" i="36"/>
  <c r="H123" i="36"/>
  <c r="I76" i="36"/>
  <c r="I80" i="36" s="1"/>
  <c r="H122" i="36"/>
  <c r="N288" i="22" l="1"/>
  <c r="N336" i="22"/>
  <c r="L317" i="22"/>
  <c r="K317" i="22"/>
  <c r="L316" i="22"/>
  <c r="K316" i="22"/>
  <c r="K39" i="22"/>
  <c r="L319" i="22"/>
  <c r="K319" i="22"/>
  <c r="L39" i="22"/>
  <c r="K38" i="22"/>
  <c r="L55" i="22" s="1"/>
  <c r="L38" i="22"/>
  <c r="M121" i="36"/>
  <c r="M234" i="22"/>
  <c r="M233" i="22"/>
  <c r="L235" i="22"/>
  <c r="N274" i="22"/>
  <c r="N285" i="22" s="1"/>
  <c r="K101" i="22"/>
  <c r="K100" i="22"/>
  <c r="L101" i="22"/>
  <c r="L100" i="22"/>
  <c r="N115" i="36"/>
  <c r="N289" i="22"/>
  <c r="N36" i="22"/>
  <c r="M274" i="22"/>
  <c r="M285" i="22" s="1"/>
  <c r="M288" i="22"/>
  <c r="M289" i="22"/>
  <c r="M322" i="22" s="1"/>
  <c r="N117" i="36"/>
  <c r="N125" i="36" s="1"/>
  <c r="N123" i="36"/>
  <c r="N122" i="36"/>
  <c r="M6" i="36"/>
  <c r="M66" i="36" s="1"/>
  <c r="F66" i="36"/>
  <c r="E6" i="36"/>
  <c r="E66" i="36" s="1"/>
  <c r="I123" i="36"/>
  <c r="I122" i="36"/>
  <c r="I118" i="36"/>
  <c r="N86" i="22" l="1"/>
  <c r="N321" i="22"/>
  <c r="M86" i="22"/>
  <c r="M321" i="22"/>
  <c r="N322" i="22"/>
  <c r="K55" i="22"/>
  <c r="N121" i="36"/>
  <c r="N233" i="22"/>
  <c r="N234" i="22"/>
  <c r="M235" i="22"/>
  <c r="N270" i="22"/>
  <c r="N39" i="22" s="1"/>
  <c r="N267" i="22"/>
  <c r="N347" i="22" s="1"/>
  <c r="N269" i="22"/>
  <c r="N38" i="22" s="1"/>
  <c r="M102" i="22"/>
  <c r="M269" i="22"/>
  <c r="M270" i="22"/>
  <c r="M267" i="22"/>
  <c r="M347" i="22" s="1"/>
  <c r="N6" i="36"/>
  <c r="N66" i="36" s="1"/>
  <c r="N102" i="22" l="1"/>
  <c r="N316" i="22"/>
  <c r="M316" i="22"/>
  <c r="M39" i="22"/>
  <c r="N319" i="22"/>
  <c r="M319" i="22"/>
  <c r="N317" i="22"/>
  <c r="M317" i="22"/>
  <c r="M38" i="22"/>
  <c r="N55" i="22" s="1"/>
  <c r="N235" i="22"/>
  <c r="N100" i="22"/>
  <c r="N101" i="22"/>
  <c r="M101" i="22"/>
  <c r="M100" i="22"/>
  <c r="K87" i="34"/>
  <c r="K85" i="34"/>
  <c r="K84" i="34"/>
  <c r="K83" i="34"/>
  <c r="L81" i="34"/>
  <c r="K81" i="34"/>
  <c r="K80" i="34"/>
  <c r="L77" i="34"/>
  <c r="K77" i="34"/>
  <c r="K76" i="34"/>
  <c r="L74" i="34"/>
  <c r="K74" i="34"/>
  <c r="K71" i="34"/>
  <c r="K73" i="34" s="1"/>
  <c r="K67" i="34"/>
  <c r="L67" i="34"/>
  <c r="K66" i="34"/>
  <c r="K64" i="34"/>
  <c r="K63" i="34"/>
  <c r="K61" i="34"/>
  <c r="K59" i="34"/>
  <c r="K58" i="34"/>
  <c r="K56" i="34"/>
  <c r="L54" i="34"/>
  <c r="K54" i="34"/>
  <c r="D137" i="34"/>
  <c r="D138" i="34" s="1"/>
  <c r="D140" i="34" s="1"/>
  <c r="D136" i="34"/>
  <c r="D134" i="34"/>
  <c r="D131" i="34"/>
  <c r="D129" i="34"/>
  <c r="D120" i="34"/>
  <c r="D113" i="34"/>
  <c r="D104" i="34"/>
  <c r="D103" i="34"/>
  <c r="D102" i="34"/>
  <c r="D100" i="34"/>
  <c r="D99" i="34"/>
  <c r="D98" i="34"/>
  <c r="D95" i="34"/>
  <c r="D92" i="34"/>
  <c r="D94" i="34"/>
  <c r="D89" i="34"/>
  <c r="D87" i="34"/>
  <c r="D85" i="34"/>
  <c r="D79" i="34"/>
  <c r="D63" i="34"/>
  <c r="D70" i="34" s="1"/>
  <c r="D54" i="34"/>
  <c r="D49" i="34"/>
  <c r="D51" i="34"/>
  <c r="D47" i="34"/>
  <c r="D46" i="34"/>
  <c r="D44" i="34"/>
  <c r="D42" i="34"/>
  <c r="D40" i="34"/>
  <c r="D25" i="34"/>
  <c r="D21" i="34"/>
  <c r="D16" i="34"/>
  <c r="D10" i="34"/>
  <c r="M55" i="22" l="1"/>
  <c r="L80" i="34"/>
  <c r="L73" i="34"/>
  <c r="L71" i="34"/>
  <c r="L63" i="34"/>
  <c r="L58" i="34"/>
  <c r="E137" i="34"/>
  <c r="E136" i="34"/>
  <c r="E120" i="34"/>
  <c r="E103" i="34"/>
  <c r="E102" i="34"/>
  <c r="E100" i="34"/>
  <c r="E99" i="34"/>
  <c r="E98" i="34"/>
  <c r="E104" i="34" s="1"/>
  <c r="E95" i="34"/>
  <c r="E92" i="34"/>
  <c r="E82" i="34"/>
  <c r="E63" i="34"/>
  <c r="E70" i="34" s="1"/>
  <c r="E54" i="34"/>
  <c r="E46" i="34"/>
  <c r="E40" i="34"/>
  <c r="B3" i="34"/>
  <c r="B2" i="23"/>
  <c r="B2" i="24"/>
  <c r="B2" i="22"/>
  <c r="E138" i="34" l="1"/>
  <c r="C57" i="24" l="1"/>
  <c r="C56" i="24"/>
  <c r="C54" i="24"/>
  <c r="C53" i="24"/>
  <c r="C52" i="24"/>
  <c r="C51" i="24"/>
  <c r="C50" i="24"/>
  <c r="C47" i="24"/>
  <c r="C46" i="24"/>
  <c r="C45" i="24"/>
  <c r="C43" i="24"/>
  <c r="C42" i="24"/>
  <c r="C41" i="24"/>
  <c r="C39" i="24"/>
  <c r="C38" i="24"/>
  <c r="C37" i="24"/>
  <c r="C35" i="24"/>
  <c r="C34" i="24"/>
  <c r="C33" i="24"/>
  <c r="C32" i="24"/>
  <c r="C28" i="24"/>
  <c r="C23" i="24"/>
  <c r="C22" i="24"/>
  <c r="C21" i="24"/>
  <c r="C20" i="24"/>
  <c r="B3" i="24"/>
  <c r="D353" i="22" l="1"/>
  <c r="J352" i="22"/>
  <c r="E352" i="22"/>
  <c r="C58" i="23" l="1"/>
  <c r="C57" i="23"/>
  <c r="C56" i="23"/>
  <c r="C55" i="23"/>
  <c r="C54" i="23"/>
  <c r="B3" i="23"/>
  <c r="F215" i="22" l="1"/>
  <c r="G215" i="22"/>
  <c r="H215" i="22"/>
  <c r="I215" i="22"/>
  <c r="E215" i="22"/>
  <c r="I194" i="22" l="1"/>
  <c r="H194" i="22"/>
  <c r="G194" i="22"/>
  <c r="F194" i="22"/>
  <c r="E194" i="22"/>
  <c r="I210" i="22"/>
  <c r="H210" i="22"/>
  <c r="G210" i="22"/>
  <c r="F210" i="22"/>
  <c r="E210" i="22"/>
  <c r="E217" i="22" s="1"/>
  <c r="I188" i="22"/>
  <c r="H188" i="22"/>
  <c r="G188" i="22"/>
  <c r="F188" i="22"/>
  <c r="E188" i="22"/>
  <c r="I159" i="22"/>
  <c r="H159" i="22"/>
  <c r="H211" i="22" l="1"/>
  <c r="H217" i="22"/>
  <c r="G211" i="22"/>
  <c r="G217" i="22"/>
  <c r="I211" i="22"/>
  <c r="I217" i="22"/>
  <c r="F211" i="22"/>
  <c r="F217" i="22"/>
  <c r="E211" i="22"/>
  <c r="I171" i="22"/>
  <c r="H171" i="22"/>
  <c r="G171" i="22"/>
  <c r="F171" i="22"/>
  <c r="I170" i="22"/>
  <c r="H170" i="22"/>
  <c r="G170" i="22"/>
  <c r="F170" i="22"/>
  <c r="I129" i="22" l="1"/>
  <c r="H129" i="22"/>
  <c r="G129" i="22"/>
  <c r="F129" i="22"/>
  <c r="E129" i="22"/>
  <c r="I128" i="22"/>
  <c r="H128" i="22"/>
  <c r="G128" i="22"/>
  <c r="F128" i="22"/>
  <c r="E128" i="22"/>
  <c r="H127" i="22"/>
  <c r="G127" i="22"/>
  <c r="F127" i="22"/>
  <c r="E127" i="22"/>
  <c r="I127" i="22"/>
  <c r="E125" i="22"/>
  <c r="E124" i="22"/>
  <c r="I146" i="22"/>
  <c r="H146" i="22"/>
  <c r="G146" i="22"/>
  <c r="F146" i="22"/>
  <c r="E146" i="22"/>
  <c r="I145" i="22"/>
  <c r="H145" i="22"/>
  <c r="G145" i="22"/>
  <c r="F145" i="22"/>
  <c r="E145" i="22"/>
  <c r="F185" i="22"/>
  <c r="G185" i="22"/>
  <c r="H185" i="22"/>
  <c r="I185" i="22"/>
  <c r="E185" i="22"/>
  <c r="I176" i="22"/>
  <c r="I178" i="22" s="1"/>
  <c r="H176" i="22"/>
  <c r="H178" i="22" s="1"/>
  <c r="H256" i="22" l="1"/>
  <c r="I256" i="22"/>
  <c r="I158" i="22" l="1"/>
  <c r="H158" i="22"/>
  <c r="G158" i="22"/>
  <c r="F158" i="22"/>
  <c r="H156" i="22"/>
  <c r="G156" i="22"/>
  <c r="F156" i="22"/>
  <c r="E156" i="22"/>
  <c r="H155" i="22"/>
  <c r="G155" i="22"/>
  <c r="F155" i="22"/>
  <c r="E155" i="22"/>
  <c r="H154" i="22"/>
  <c r="G154" i="22"/>
  <c r="F154" i="22"/>
  <c r="E154" i="22"/>
  <c r="I154" i="22"/>
  <c r="I155" i="22"/>
  <c r="I156" i="22"/>
  <c r="I312" i="22" l="1"/>
  <c r="H312" i="22"/>
  <c r="G312" i="22"/>
  <c r="F312" i="22"/>
  <c r="E312" i="22"/>
  <c r="C118" i="22"/>
  <c r="C117" i="22"/>
  <c r="C111" i="22"/>
  <c r="C110" i="22"/>
  <c r="G97" i="22"/>
  <c r="G223" i="22" s="1"/>
  <c r="F97" i="22"/>
  <c r="F223" i="22" s="1"/>
  <c r="E97" i="22"/>
  <c r="E223" i="22" s="1"/>
  <c r="H97" i="22"/>
  <c r="H223" i="22" s="1"/>
  <c r="I97" i="22"/>
  <c r="I223" i="22" s="1"/>
  <c r="C95" i="22"/>
  <c r="C94" i="22"/>
  <c r="C93" i="22"/>
  <c r="C88" i="22"/>
  <c r="C87" i="22"/>
  <c r="C86" i="22"/>
  <c r="I88" i="22"/>
  <c r="H88" i="22"/>
  <c r="G88" i="22"/>
  <c r="F88" i="22"/>
  <c r="E88" i="22"/>
  <c r="I87" i="22"/>
  <c r="H87" i="22"/>
  <c r="G87" i="22"/>
  <c r="F87" i="22"/>
  <c r="E87" i="22"/>
  <c r="I86" i="22"/>
  <c r="H86" i="22"/>
  <c r="G86" i="22"/>
  <c r="F86" i="22"/>
  <c r="E86" i="22"/>
  <c r="C82" i="22"/>
  <c r="C81" i="22"/>
  <c r="C80" i="22"/>
  <c r="C78" i="22"/>
  <c r="C77" i="22"/>
  <c r="C76" i="22"/>
  <c r="C75" i="22"/>
  <c r="C74" i="22"/>
  <c r="C73" i="22"/>
  <c r="C27" i="22"/>
  <c r="C26" i="22"/>
  <c r="C25" i="22"/>
  <c r="C69" i="22"/>
  <c r="C68" i="22"/>
  <c r="C67" i="22"/>
  <c r="C65" i="22"/>
  <c r="C64" i="22"/>
  <c r="C63" i="22"/>
  <c r="C62" i="22"/>
  <c r="C61" i="22"/>
  <c r="C60" i="22"/>
  <c r="E57" i="22"/>
  <c r="E222" i="22" s="1"/>
  <c r="F57" i="22"/>
  <c r="F222" i="22" s="1"/>
  <c r="F224" i="22" s="1"/>
  <c r="G57" i="22"/>
  <c r="G222" i="22" s="1"/>
  <c r="H53" i="22"/>
  <c r="H57" i="22" s="1"/>
  <c r="H222" i="22" s="1"/>
  <c r="I53" i="22"/>
  <c r="I57" i="22" s="1"/>
  <c r="I222" i="22" s="1"/>
  <c r="C56" i="22"/>
  <c r="C55" i="22"/>
  <c r="C54" i="22"/>
  <c r="C52" i="22"/>
  <c r="C51" i="22"/>
  <c r="C50" i="22"/>
  <c r="C49" i="22"/>
  <c r="C48" i="22"/>
  <c r="C47" i="22"/>
  <c r="C37" i="22"/>
  <c r="C38" i="22"/>
  <c r="C39" i="22"/>
  <c r="I39" i="22"/>
  <c r="H39" i="22"/>
  <c r="G39" i="22"/>
  <c r="F39" i="22"/>
  <c r="E39" i="22"/>
  <c r="I38" i="22"/>
  <c r="H38" i="22"/>
  <c r="G38" i="22"/>
  <c r="F38" i="22"/>
  <c r="E38" i="22"/>
  <c r="I37" i="22"/>
  <c r="H37" i="22"/>
  <c r="G37" i="22"/>
  <c r="F37" i="22"/>
  <c r="E37" i="22"/>
  <c r="C35" i="22"/>
  <c r="C34" i="22"/>
  <c r="C33" i="22"/>
  <c r="C32" i="22"/>
  <c r="C31" i="22"/>
  <c r="C30" i="22"/>
  <c r="H35" i="22"/>
  <c r="G35" i="22"/>
  <c r="F35" i="22"/>
  <c r="E35" i="22"/>
  <c r="H34" i="22"/>
  <c r="G34" i="22"/>
  <c r="F34" i="22"/>
  <c r="E34" i="22"/>
  <c r="H33" i="22"/>
  <c r="G33" i="22"/>
  <c r="F33" i="22"/>
  <c r="E33" i="22"/>
  <c r="H32" i="22"/>
  <c r="G32" i="22"/>
  <c r="F32" i="22"/>
  <c r="E32" i="22"/>
  <c r="H31" i="22"/>
  <c r="E31" i="22"/>
  <c r="I35" i="22"/>
  <c r="I34" i="22"/>
  <c r="I33" i="22"/>
  <c r="I32" i="22"/>
  <c r="I31" i="22"/>
  <c r="N24" i="22" l="1"/>
  <c r="M24" i="22"/>
  <c r="L24" i="22"/>
  <c r="K24" i="22"/>
  <c r="J24" i="22"/>
  <c r="G108" i="22"/>
  <c r="F110" i="22"/>
  <c r="I111" i="22"/>
  <c r="I118" i="22" s="1"/>
  <c r="G110" i="22"/>
  <c r="I108" i="22"/>
  <c r="G111" i="22"/>
  <c r="H111" i="22"/>
  <c r="H118" i="22" s="1"/>
  <c r="H110" i="22"/>
  <c r="H117" i="22" s="1"/>
  <c r="F108" i="22"/>
  <c r="I110" i="22"/>
  <c r="I117" i="22" s="1"/>
  <c r="H108" i="22"/>
  <c r="F111" i="22"/>
  <c r="I224" i="22"/>
  <c r="G224" i="22"/>
  <c r="H224" i="22"/>
  <c r="H69" i="22"/>
  <c r="H82" i="22" s="1"/>
  <c r="G67" i="22"/>
  <c r="G80" i="22" s="1"/>
  <c r="F68" i="22"/>
  <c r="F81" i="22" s="1"/>
  <c r="I69" i="22"/>
  <c r="I82" i="22" s="1"/>
  <c r="F67" i="22"/>
  <c r="F80" i="22" s="1"/>
  <c r="I68" i="22"/>
  <c r="I81" i="22" s="1"/>
  <c r="I67" i="22"/>
  <c r="I80" i="22" s="1"/>
  <c r="G69" i="22"/>
  <c r="I61" i="22"/>
  <c r="I74" i="22" s="1"/>
  <c r="H67" i="22"/>
  <c r="H80" i="22" s="1"/>
  <c r="F69" i="22"/>
  <c r="H68" i="22"/>
  <c r="H81" i="22" s="1"/>
  <c r="G68" i="22"/>
  <c r="G81" i="22" s="1"/>
  <c r="H63" i="22"/>
  <c r="H76" i="22" s="1"/>
  <c r="H65" i="22"/>
  <c r="H78" i="22" s="1"/>
  <c r="G62" i="22"/>
  <c r="G64" i="22"/>
  <c r="G63" i="22"/>
  <c r="G65" i="22"/>
  <c r="F63" i="22"/>
  <c r="F65" i="22"/>
  <c r="H64" i="22"/>
  <c r="H77" i="22" s="1"/>
  <c r="I64" i="22"/>
  <c r="I77" i="22" s="1"/>
  <c r="H62" i="22"/>
  <c r="H75" i="22" s="1"/>
  <c r="F62" i="22"/>
  <c r="I62" i="22"/>
  <c r="I75" i="22" s="1"/>
  <c r="I63" i="22"/>
  <c r="I76" i="22" s="1"/>
  <c r="I65" i="22"/>
  <c r="I78" i="22" s="1"/>
  <c r="F64" i="22"/>
  <c r="H36" i="22"/>
  <c r="I36" i="22"/>
  <c r="I40" i="22" s="1"/>
  <c r="I44" i="22" s="1"/>
  <c r="E36" i="22"/>
  <c r="I346" i="22"/>
  <c r="H346" i="22"/>
  <c r="J109" i="22" l="1"/>
  <c r="J93" i="22" s="1"/>
  <c r="J110" i="22"/>
  <c r="K109" i="22"/>
  <c r="K93" i="22" s="1"/>
  <c r="K110" i="22"/>
  <c r="L109" i="22"/>
  <c r="L93" i="22" s="1"/>
  <c r="L110" i="22"/>
  <c r="M109" i="22"/>
  <c r="M93" i="22" s="1"/>
  <c r="M110" i="22"/>
  <c r="N109" i="22"/>
  <c r="N93" i="22" s="1"/>
  <c r="N110" i="22"/>
  <c r="K65" i="22"/>
  <c r="K52" i="22" s="1"/>
  <c r="K62" i="22"/>
  <c r="K49" i="22" s="1"/>
  <c r="K69" i="22"/>
  <c r="K56" i="22" s="1"/>
  <c r="K63" i="22"/>
  <c r="K50" i="22" s="1"/>
  <c r="K61" i="22"/>
  <c r="K48" i="22" s="1"/>
  <c r="K64" i="22"/>
  <c r="K51" i="22" s="1"/>
  <c r="K67" i="22"/>
  <c r="L65" i="22"/>
  <c r="L52" i="22" s="1"/>
  <c r="L69" i="22"/>
  <c r="L56" i="22" s="1"/>
  <c r="L63" i="22"/>
  <c r="L50" i="22" s="1"/>
  <c r="L67" i="22"/>
  <c r="L61" i="22"/>
  <c r="L48" i="22" s="1"/>
  <c r="L62" i="22"/>
  <c r="L49" i="22" s="1"/>
  <c r="L64" i="22"/>
  <c r="L51" i="22" s="1"/>
  <c r="M69" i="22"/>
  <c r="M56" i="22" s="1"/>
  <c r="M63" i="22"/>
  <c r="M50" i="22" s="1"/>
  <c r="M61" i="22"/>
  <c r="M48" i="22" s="1"/>
  <c r="M64" i="22"/>
  <c r="M51" i="22" s="1"/>
  <c r="M62" i="22"/>
  <c r="M49" i="22" s="1"/>
  <c r="M65" i="22"/>
  <c r="M52" i="22" s="1"/>
  <c r="M67" i="22"/>
  <c r="J62" i="22"/>
  <c r="J49" i="22" s="1"/>
  <c r="J64" i="22"/>
  <c r="J51" i="22" s="1"/>
  <c r="J65" i="22"/>
  <c r="J52" i="22" s="1"/>
  <c r="J69" i="22"/>
  <c r="J56" i="22" s="1"/>
  <c r="J63" i="22"/>
  <c r="J50" i="22" s="1"/>
  <c r="J67" i="22"/>
  <c r="J61" i="22"/>
  <c r="J48" i="22" s="1"/>
  <c r="N61" i="22"/>
  <c r="N48" i="22" s="1"/>
  <c r="N64" i="22"/>
  <c r="N51" i="22" s="1"/>
  <c r="N63" i="22"/>
  <c r="N50" i="22" s="1"/>
  <c r="N69" i="22"/>
  <c r="N56" i="22" s="1"/>
  <c r="N62" i="22"/>
  <c r="N49" i="22" s="1"/>
  <c r="N65" i="22"/>
  <c r="N52" i="22" s="1"/>
  <c r="N67" i="22"/>
  <c r="H109" i="22"/>
  <c r="H116" i="22" s="1"/>
  <c r="F109" i="22"/>
  <c r="F116" i="22" s="1"/>
  <c r="G109" i="22"/>
  <c r="G116" i="22" s="1"/>
  <c r="I109" i="22"/>
  <c r="I116" i="22" s="1"/>
  <c r="E40" i="22"/>
  <c r="E44" i="22" s="1"/>
  <c r="H40" i="22"/>
  <c r="I66" i="22"/>
  <c r="I79" i="22" s="1"/>
  <c r="I314" i="22"/>
  <c r="H310" i="22"/>
  <c r="G310" i="22"/>
  <c r="F310" i="22"/>
  <c r="E310" i="22"/>
  <c r="H309" i="22"/>
  <c r="G309" i="22"/>
  <c r="F309" i="22"/>
  <c r="E309" i="22"/>
  <c r="I310" i="22"/>
  <c r="I309" i="22"/>
  <c r="I306" i="22"/>
  <c r="H306" i="22"/>
  <c r="G306" i="22"/>
  <c r="F306" i="22"/>
  <c r="E306" i="22"/>
  <c r="G313" i="22"/>
  <c r="J53" i="22" l="1"/>
  <c r="J66" i="22" s="1"/>
  <c r="J79" i="22" s="1"/>
  <c r="N53" i="22"/>
  <c r="N66" i="22" s="1"/>
  <c r="N79" i="22" s="1"/>
  <c r="L53" i="22"/>
  <c r="K53" i="22"/>
  <c r="M53" i="22"/>
  <c r="M66" i="22" s="1"/>
  <c r="M79" i="22" s="1"/>
  <c r="I41" i="22"/>
  <c r="H44" i="22"/>
  <c r="K66" i="22" l="1"/>
  <c r="K79" i="22" s="1"/>
  <c r="L66" i="22"/>
  <c r="L79" i="22" s="1"/>
  <c r="I70" i="22"/>
  <c r="I369" i="22"/>
  <c r="I289" i="22"/>
  <c r="H289" i="22"/>
  <c r="G289" i="22"/>
  <c r="I83" i="22" l="1"/>
  <c r="I370" i="22"/>
  <c r="E359" i="22"/>
  <c r="D23" i="22"/>
  <c r="J22" i="22"/>
  <c r="E22" i="22"/>
  <c r="D122" i="22"/>
  <c r="J121" i="22"/>
  <c r="E121" i="22"/>
  <c r="D151" i="22"/>
  <c r="J150" i="22"/>
  <c r="E150" i="22"/>
  <c r="D191" i="22"/>
  <c r="J190" i="22"/>
  <c r="E190" i="22"/>
  <c r="D303" i="22"/>
  <c r="J302" i="22"/>
  <c r="E302" i="22"/>
  <c r="D265" i="22"/>
  <c r="J264" i="22"/>
  <c r="E264" i="22"/>
  <c r="I253" i="22"/>
  <c r="H253" i="22"/>
  <c r="G253" i="22"/>
  <c r="F253" i="22"/>
  <c r="F241" i="22"/>
  <c r="F311" i="22" s="1"/>
  <c r="E241" i="22"/>
  <c r="E311" i="22" s="1"/>
  <c r="E219" i="22"/>
  <c r="J219" i="22"/>
  <c r="D220" i="22"/>
  <c r="E5" i="24" l="1"/>
  <c r="E95" i="23"/>
  <c r="E60" i="23"/>
  <c r="E5" i="23"/>
  <c r="J5" i="24"/>
  <c r="J95" i="23"/>
  <c r="J60" i="23"/>
  <c r="J5" i="23"/>
  <c r="D6" i="24"/>
  <c r="D96" i="23"/>
  <c r="D6" i="23"/>
  <c r="D61" i="23"/>
  <c r="E360" i="22"/>
  <c r="E253" i="22" l="1"/>
  <c r="F31" i="22" l="1"/>
  <c r="F36" i="22" l="1"/>
  <c r="F61" i="22"/>
  <c r="G31" i="22"/>
  <c r="E272" i="22"/>
  <c r="E163" i="22" l="1"/>
  <c r="E164" i="22"/>
  <c r="E165" i="22"/>
  <c r="G36" i="22"/>
  <c r="G66" i="22" s="1"/>
  <c r="G79" i="22" s="1"/>
  <c r="H61" i="22"/>
  <c r="H74" i="22" s="1"/>
  <c r="G61" i="22"/>
  <c r="F40" i="22"/>
  <c r="F66" i="22"/>
  <c r="F79" i="22" s="1"/>
  <c r="E361" i="22"/>
  <c r="F272" i="22"/>
  <c r="E129" i="34"/>
  <c r="E85" i="34"/>
  <c r="E79" i="34"/>
  <c r="E21" i="34"/>
  <c r="E16" i="34"/>
  <c r="E10" i="34"/>
  <c r="B2" i="34"/>
  <c r="H144" i="22"/>
  <c r="G144" i="22"/>
  <c r="F144" i="22"/>
  <c r="E144" i="22"/>
  <c r="I144" i="22"/>
  <c r="I339" i="22"/>
  <c r="H339" i="22"/>
  <c r="G339" i="22"/>
  <c r="F339" i="22"/>
  <c r="E339" i="22"/>
  <c r="E259" i="22"/>
  <c r="G259" i="22"/>
  <c r="F259" i="22"/>
  <c r="H348" i="22"/>
  <c r="I348" i="22"/>
  <c r="I330" i="22"/>
  <c r="H330" i="22"/>
  <c r="G330" i="22"/>
  <c r="F290" i="22"/>
  <c r="F330" i="22"/>
  <c r="E330" i="22"/>
  <c r="E290" i="22"/>
  <c r="F314" i="22"/>
  <c r="E314" i="22"/>
  <c r="H314" i="22"/>
  <c r="G296" i="22"/>
  <c r="E296" i="22"/>
  <c r="I235" i="22"/>
  <c r="H235" i="22"/>
  <c r="G235" i="22"/>
  <c r="F235" i="22"/>
  <c r="E235" i="22"/>
  <c r="I230" i="22"/>
  <c r="H230" i="22"/>
  <c r="G230" i="22"/>
  <c r="F230" i="22"/>
  <c r="E230" i="22"/>
  <c r="H296" i="22"/>
  <c r="I296" i="22"/>
  <c r="H290" i="22"/>
  <c r="G290" i="22"/>
  <c r="L56" i="34" l="1"/>
  <c r="L59" i="34" s="1"/>
  <c r="L87" i="34" s="1"/>
  <c r="L61" i="34"/>
  <c r="L64" i="34" s="1"/>
  <c r="E87" i="34"/>
  <c r="E89" i="34" s="1"/>
  <c r="E25" i="34"/>
  <c r="E42" i="34" s="1"/>
  <c r="E47" i="34" s="1"/>
  <c r="I23" i="22"/>
  <c r="I353" i="22"/>
  <c r="F41" i="22"/>
  <c r="F44" i="22"/>
  <c r="G40" i="22"/>
  <c r="G44" i="22" s="1"/>
  <c r="H66" i="22"/>
  <c r="H79" i="22" s="1"/>
  <c r="F361" i="22"/>
  <c r="F360" i="22"/>
  <c r="I265" i="22"/>
  <c r="I151" i="22"/>
  <c r="I303" i="22"/>
  <c r="I122" i="22"/>
  <c r="I191" i="22"/>
  <c r="G272" i="22"/>
  <c r="G241" i="22"/>
  <c r="G311" i="22" s="1"/>
  <c r="H241" i="22"/>
  <c r="H311" i="22" s="1"/>
  <c r="I241" i="22"/>
  <c r="I311" i="22" s="1"/>
  <c r="I220" i="22"/>
  <c r="I272" i="22"/>
  <c r="H272" i="22"/>
  <c r="E298" i="22"/>
  <c r="F239" i="22"/>
  <c r="F133" i="22" s="1"/>
  <c r="E89" i="22"/>
  <c r="I89" i="22"/>
  <c r="E273" i="22"/>
  <c r="F296" i="22"/>
  <c r="F273" i="22"/>
  <c r="F89" i="22"/>
  <c r="H298" i="22"/>
  <c r="G239" i="22"/>
  <c r="G133" i="22" s="1"/>
  <c r="G89" i="22"/>
  <c r="H89" i="22"/>
  <c r="E224" i="22"/>
  <c r="G298" i="22"/>
  <c r="I290" i="22"/>
  <c r="I298" i="22" s="1"/>
  <c r="I239" i="22"/>
  <c r="I133" i="22" s="1"/>
  <c r="L83" i="34" l="1"/>
  <c r="L66" i="34"/>
  <c r="E44" i="34"/>
  <c r="E94" i="34" s="1"/>
  <c r="E51" i="34"/>
  <c r="E49" i="34" s="1"/>
  <c r="H356" i="22"/>
  <c r="E239" i="22"/>
  <c r="F70" i="22"/>
  <c r="F369" i="22"/>
  <c r="E356" i="22"/>
  <c r="I182" i="22"/>
  <c r="I375" i="22"/>
  <c r="I374" i="22"/>
  <c r="I356" i="22"/>
  <c r="G356" i="22"/>
  <c r="G182" i="22"/>
  <c r="G375" i="22"/>
  <c r="G374" i="22"/>
  <c r="F182" i="22"/>
  <c r="F375" i="22"/>
  <c r="F374" i="22"/>
  <c r="F298" i="22"/>
  <c r="H23" i="22"/>
  <c r="H353" i="22"/>
  <c r="I6" i="24"/>
  <c r="I96" i="23"/>
  <c r="I61" i="23"/>
  <c r="I6" i="23"/>
  <c r="J23" i="22"/>
  <c r="J353" i="22"/>
  <c r="F143" i="22"/>
  <c r="I143" i="22"/>
  <c r="E143" i="22"/>
  <c r="G143" i="22"/>
  <c r="I141" i="22"/>
  <c r="I139" i="22"/>
  <c r="I138" i="22"/>
  <c r="G141" i="22"/>
  <c r="G139" i="22"/>
  <c r="G138" i="22"/>
  <c r="F141" i="22"/>
  <c r="F138" i="22"/>
  <c r="F139" i="22"/>
  <c r="F359" i="22"/>
  <c r="F124" i="22"/>
  <c r="F125" i="22"/>
  <c r="I180" i="22"/>
  <c r="I184" i="22"/>
  <c r="I181" i="22"/>
  <c r="E180" i="22"/>
  <c r="G181" i="22"/>
  <c r="G184" i="22"/>
  <c r="G180" i="22"/>
  <c r="F181" i="22"/>
  <c r="F180" i="22"/>
  <c r="F184" i="22"/>
  <c r="F165" i="22"/>
  <c r="F163" i="22"/>
  <c r="F164" i="22"/>
  <c r="H41" i="22"/>
  <c r="G41" i="22"/>
  <c r="F135" i="22"/>
  <c r="F137" i="22"/>
  <c r="F255" i="22"/>
  <c r="G137" i="22"/>
  <c r="G135" i="22"/>
  <c r="G255" i="22"/>
  <c r="I135" i="22"/>
  <c r="I137" i="22"/>
  <c r="I255" i="22"/>
  <c r="H191" i="22"/>
  <c r="H122" i="22"/>
  <c r="H265" i="22"/>
  <c r="H151" i="22"/>
  <c r="H303" i="22"/>
  <c r="J265" i="22"/>
  <c r="J151" i="22"/>
  <c r="J303" i="22"/>
  <c r="J122" i="22"/>
  <c r="J191" i="22"/>
  <c r="H239" i="22"/>
  <c r="H133" i="22" s="1"/>
  <c r="J220" i="22"/>
  <c r="H220" i="22"/>
  <c r="I90" i="22"/>
  <c r="I112" i="22" s="1"/>
  <c r="F90" i="22"/>
  <c r="F112" i="22" s="1"/>
  <c r="E274" i="22"/>
  <c r="E162" i="22" s="1"/>
  <c r="H90" i="22"/>
  <c r="H112" i="22" s="1"/>
  <c r="G90" i="22"/>
  <c r="G112" i="22" s="1"/>
  <c r="F274" i="22"/>
  <c r="F162" i="22" s="1"/>
  <c r="E181" i="22" l="1"/>
  <c r="E133" i="22"/>
  <c r="E141" i="22"/>
  <c r="E139" i="22"/>
  <c r="E184" i="22"/>
  <c r="E138" i="22"/>
  <c r="E137" i="22"/>
  <c r="E374" i="22"/>
  <c r="E255" i="22"/>
  <c r="E148" i="22" s="1"/>
  <c r="E135" i="22"/>
  <c r="L84" i="34"/>
  <c r="L76" i="34"/>
  <c r="E113" i="34"/>
  <c r="E131" i="34" s="1"/>
  <c r="E134" i="34" s="1"/>
  <c r="E140" i="34" s="1"/>
  <c r="F281" i="22"/>
  <c r="F355" i="22" s="1"/>
  <c r="F357" i="22"/>
  <c r="H119" i="22"/>
  <c r="H371" i="22"/>
  <c r="F356" i="22"/>
  <c r="E281" i="22"/>
  <c r="E355" i="22" s="1"/>
  <c r="E357" i="22"/>
  <c r="F83" i="22"/>
  <c r="F370" i="22"/>
  <c r="G70" i="22"/>
  <c r="G369" i="22"/>
  <c r="F119" i="22"/>
  <c r="F371" i="22"/>
  <c r="H182" i="22"/>
  <c r="H375" i="22"/>
  <c r="H374" i="22"/>
  <c r="H70" i="22"/>
  <c r="H369" i="22"/>
  <c r="E182" i="22"/>
  <c r="E375" i="22"/>
  <c r="G119" i="22"/>
  <c r="G371" i="22"/>
  <c r="I371" i="22"/>
  <c r="I372" i="22" s="1"/>
  <c r="J6" i="24"/>
  <c r="J96" i="23"/>
  <c r="J61" i="23"/>
  <c r="J6" i="23"/>
  <c r="K23" i="22"/>
  <c r="K353" i="22"/>
  <c r="G23" i="22"/>
  <c r="G353" i="22"/>
  <c r="H6" i="24"/>
  <c r="H96" i="23"/>
  <c r="H61" i="23"/>
  <c r="H6" i="23"/>
  <c r="H143" i="22"/>
  <c r="H141" i="22"/>
  <c r="H139" i="22"/>
  <c r="H138" i="22"/>
  <c r="G359" i="22"/>
  <c r="G124" i="22"/>
  <c r="G125" i="22"/>
  <c r="I359" i="22"/>
  <c r="I125" i="22"/>
  <c r="I124" i="22"/>
  <c r="H359" i="22"/>
  <c r="H124" i="22"/>
  <c r="H125" i="22"/>
  <c r="H181" i="22"/>
  <c r="H180" i="22"/>
  <c r="H184" i="22"/>
  <c r="I163" i="22"/>
  <c r="I164" i="22"/>
  <c r="H165" i="22"/>
  <c r="H163" i="22"/>
  <c r="H164" i="22"/>
  <c r="G165" i="22"/>
  <c r="G163" i="22"/>
  <c r="G164" i="22"/>
  <c r="I165" i="22"/>
  <c r="G148" i="22"/>
  <c r="G257" i="22"/>
  <c r="I148" i="22"/>
  <c r="I257" i="22"/>
  <c r="F148" i="22"/>
  <c r="F257" i="22"/>
  <c r="H137" i="22"/>
  <c r="H135" i="22"/>
  <c r="H255" i="22"/>
  <c r="G191" i="22"/>
  <c r="G303" i="22"/>
  <c r="G265" i="22"/>
  <c r="G151" i="22"/>
  <c r="G122" i="22"/>
  <c r="K151" i="22"/>
  <c r="K303" i="22"/>
  <c r="K122" i="22"/>
  <c r="K191" i="22"/>
  <c r="K265" i="22"/>
  <c r="G220" i="22"/>
  <c r="K220" i="22"/>
  <c r="E257" i="22" l="1"/>
  <c r="E376" i="22" s="1"/>
  <c r="L85" i="34"/>
  <c r="G363" i="22"/>
  <c r="G376" i="22"/>
  <c r="G365" i="22"/>
  <c r="F372" i="22"/>
  <c r="F262" i="22"/>
  <c r="F366" i="22"/>
  <c r="F365" i="22"/>
  <c r="F376" i="22"/>
  <c r="F363" i="22"/>
  <c r="H83" i="22"/>
  <c r="H370" i="22"/>
  <c r="H372" i="22" s="1"/>
  <c r="E300" i="22"/>
  <c r="I363" i="22"/>
  <c r="I365" i="22"/>
  <c r="I376" i="22"/>
  <c r="G83" i="22"/>
  <c r="G370" i="22"/>
  <c r="G372" i="22" s="1"/>
  <c r="F300" i="22"/>
  <c r="L23" i="22"/>
  <c r="L353" i="22"/>
  <c r="F23" i="22"/>
  <c r="F353" i="22"/>
  <c r="K6" i="24"/>
  <c r="K96" i="23"/>
  <c r="K61" i="23"/>
  <c r="K6" i="23"/>
  <c r="G6" i="24"/>
  <c r="G96" i="23"/>
  <c r="G61" i="23"/>
  <c r="G6" i="23"/>
  <c r="E262" i="22"/>
  <c r="I305" i="22"/>
  <c r="I262" i="22"/>
  <c r="G305" i="22"/>
  <c r="G262" i="22"/>
  <c r="F305" i="22"/>
  <c r="F323" i="22" s="1"/>
  <c r="F341" i="22" s="1"/>
  <c r="H257" i="22"/>
  <c r="H148" i="22"/>
  <c r="I360" i="22"/>
  <c r="H273" i="22"/>
  <c r="H361" i="22"/>
  <c r="H360" i="22"/>
  <c r="G361" i="22"/>
  <c r="G360" i="22"/>
  <c r="F122" i="22"/>
  <c r="F191" i="22"/>
  <c r="F265" i="22"/>
  <c r="F151" i="22"/>
  <c r="F303" i="22"/>
  <c r="L303" i="22"/>
  <c r="L122" i="22"/>
  <c r="L191" i="22"/>
  <c r="L151" i="22"/>
  <c r="L265" i="22"/>
  <c r="L220" i="22"/>
  <c r="F220" i="22"/>
  <c r="G273" i="22"/>
  <c r="E305" i="22" l="1"/>
  <c r="E323" i="22" s="1"/>
  <c r="E341" i="22" s="1"/>
  <c r="H376" i="22"/>
  <c r="H363" i="22"/>
  <c r="H365" i="22"/>
  <c r="M23" i="22"/>
  <c r="M353" i="22"/>
  <c r="L6" i="24"/>
  <c r="L96" i="23"/>
  <c r="L61" i="23"/>
  <c r="L6" i="23"/>
  <c r="E23" i="22"/>
  <c r="E353" i="22"/>
  <c r="F6" i="24"/>
  <c r="F96" i="23"/>
  <c r="F61" i="23"/>
  <c r="F6" i="23"/>
  <c r="H305" i="22"/>
  <c r="H323" i="22" s="1"/>
  <c r="H341" i="22" s="1"/>
  <c r="H344" i="22" s="1"/>
  <c r="H262" i="22"/>
  <c r="H274" i="22"/>
  <c r="H162" i="22" s="1"/>
  <c r="I273" i="22"/>
  <c r="I361" i="22"/>
  <c r="G274" i="22"/>
  <c r="G162" i="22" s="1"/>
  <c r="M303" i="22"/>
  <c r="M151" i="22"/>
  <c r="M122" i="22"/>
  <c r="M191" i="22"/>
  <c r="M265" i="22"/>
  <c r="E303" i="22"/>
  <c r="E122" i="22"/>
  <c r="E191" i="22"/>
  <c r="E151" i="22"/>
  <c r="E265" i="22"/>
  <c r="M220" i="22"/>
  <c r="E220" i="22"/>
  <c r="I323" i="22"/>
  <c r="I341" i="22" s="1"/>
  <c r="G323" i="22"/>
  <c r="G341" i="22" s="1"/>
  <c r="H281" i="22" l="1"/>
  <c r="H355" i="22" s="1"/>
  <c r="H357" i="22"/>
  <c r="G281" i="22"/>
  <c r="G357" i="22"/>
  <c r="M6" i="24"/>
  <c r="M96" i="23"/>
  <c r="M61" i="23"/>
  <c r="M6" i="23"/>
  <c r="E6" i="24"/>
  <c r="E96" i="23"/>
  <c r="E61" i="23"/>
  <c r="E6" i="23"/>
  <c r="N23" i="22"/>
  <c r="N353" i="22"/>
  <c r="I274" i="22"/>
  <c r="I162" i="22" s="1"/>
  <c r="I343" i="22"/>
  <c r="I344" i="22" s="1"/>
  <c r="H350" i="22"/>
  <c r="N220" i="22"/>
  <c r="N122" i="22"/>
  <c r="N191" i="22"/>
  <c r="N265" i="22"/>
  <c r="N151" i="22"/>
  <c r="N303" i="22"/>
  <c r="G300" i="22" l="1"/>
  <c r="G366" i="22"/>
  <c r="H366" i="22"/>
  <c r="I281" i="22"/>
  <c r="I366" i="22" s="1"/>
  <c r="I357" i="22"/>
  <c r="G355" i="22"/>
  <c r="H300" i="22"/>
  <c r="N6" i="24"/>
  <c r="N96" i="23"/>
  <c r="N61" i="23"/>
  <c r="N6" i="23"/>
  <c r="I350" i="22"/>
  <c r="I355" i="22" l="1"/>
  <c r="I300" i="22"/>
  <c r="J37" i="22"/>
  <c r="K37" i="22"/>
  <c r="L37" i="22"/>
  <c r="M37" i="22"/>
  <c r="N37" i="22"/>
  <c r="J40" i="22"/>
  <c r="K40" i="22"/>
  <c r="L40" i="22"/>
  <c r="M40" i="22"/>
  <c r="N40" i="22"/>
  <c r="J41" i="22"/>
  <c r="K41" i="22"/>
  <c r="L41" i="22"/>
  <c r="M41" i="22"/>
  <c r="N41" i="22"/>
  <c r="J43" i="22"/>
  <c r="K43" i="22"/>
  <c r="L43" i="22"/>
  <c r="M43" i="22"/>
  <c r="N43" i="22"/>
  <c r="J54" i="22"/>
  <c r="K54" i="22"/>
  <c r="L54" i="22"/>
  <c r="M54" i="22"/>
  <c r="N54" i="22"/>
  <c r="J57" i="22"/>
  <c r="K57" i="22"/>
  <c r="L57" i="22"/>
  <c r="M57" i="22"/>
  <c r="N57" i="22"/>
  <c r="J70" i="22"/>
  <c r="K70" i="22"/>
  <c r="L70" i="22"/>
  <c r="M70" i="22"/>
  <c r="N70" i="22"/>
  <c r="J83" i="22"/>
  <c r="K83" i="22"/>
  <c r="L83" i="22"/>
  <c r="M83" i="22"/>
  <c r="N83" i="22"/>
  <c r="J87" i="22"/>
  <c r="K87" i="22"/>
  <c r="L87" i="22"/>
  <c r="M87" i="22"/>
  <c r="N87" i="22"/>
  <c r="J88" i="22"/>
  <c r="K88" i="22"/>
  <c r="L88" i="22"/>
  <c r="M88" i="22"/>
  <c r="N88" i="22"/>
  <c r="J89" i="22"/>
  <c r="K89" i="22"/>
  <c r="L89" i="22"/>
  <c r="M89" i="22"/>
  <c r="N89" i="22"/>
  <c r="J90" i="22"/>
  <c r="K90" i="22"/>
  <c r="L90" i="22"/>
  <c r="M90" i="22"/>
  <c r="N90" i="22"/>
  <c r="J94" i="22"/>
  <c r="K94" i="22"/>
  <c r="L94" i="22"/>
  <c r="M94" i="22"/>
  <c r="N94" i="22"/>
  <c r="J95" i="22"/>
  <c r="K95" i="22"/>
  <c r="L95" i="22"/>
  <c r="M95" i="22"/>
  <c r="N95" i="22"/>
  <c r="J97" i="22"/>
  <c r="K97" i="22"/>
  <c r="L97" i="22"/>
  <c r="M97" i="22"/>
  <c r="N97" i="22"/>
  <c r="J112" i="22"/>
  <c r="K112" i="22"/>
  <c r="L112" i="22"/>
  <c r="M112" i="22"/>
  <c r="N112" i="22"/>
  <c r="J119" i="22"/>
  <c r="K119" i="22"/>
  <c r="L119" i="22"/>
  <c r="M119" i="22"/>
  <c r="N119" i="22"/>
  <c r="J132" i="22"/>
  <c r="K132" i="22"/>
  <c r="L132" i="22"/>
  <c r="M132" i="22"/>
  <c r="N132" i="22"/>
  <c r="J135" i="22"/>
  <c r="K135" i="22"/>
  <c r="L135" i="22"/>
  <c r="M135" i="22"/>
  <c r="N135" i="22"/>
  <c r="J168" i="22"/>
  <c r="K168" i="22"/>
  <c r="L168" i="22"/>
  <c r="M168" i="22"/>
  <c r="N168" i="22"/>
  <c r="J169" i="22"/>
  <c r="K169" i="22"/>
  <c r="L169" i="22"/>
  <c r="M169" i="22"/>
  <c r="N169" i="22"/>
  <c r="J170" i="22"/>
  <c r="K170" i="22"/>
  <c r="L170" i="22"/>
  <c r="M170" i="22"/>
  <c r="N170" i="22"/>
  <c r="J171" i="22"/>
  <c r="K171" i="22"/>
  <c r="L171" i="22"/>
  <c r="M171" i="22"/>
  <c r="N171" i="22"/>
  <c r="J174" i="22"/>
  <c r="K174" i="22"/>
  <c r="L174" i="22"/>
  <c r="M174" i="22"/>
  <c r="N174" i="22"/>
  <c r="J175" i="22"/>
  <c r="K175" i="22"/>
  <c r="L175" i="22"/>
  <c r="M175" i="22"/>
  <c r="N175" i="22"/>
  <c r="J176" i="22"/>
  <c r="K176" i="22"/>
  <c r="L176" i="22"/>
  <c r="M176" i="22"/>
  <c r="N176" i="22"/>
  <c r="J193" i="22"/>
  <c r="K193" i="22"/>
  <c r="L193" i="22"/>
  <c r="M193" i="22"/>
  <c r="N193" i="22"/>
  <c r="J194" i="22"/>
  <c r="K194" i="22"/>
  <c r="L194" i="22"/>
  <c r="M194" i="22"/>
  <c r="N194" i="22"/>
  <c r="J202" i="22"/>
  <c r="K202" i="22"/>
  <c r="L202" i="22"/>
  <c r="M202" i="22"/>
  <c r="N202" i="22"/>
  <c r="J203" i="22"/>
  <c r="K203" i="22"/>
  <c r="L203" i="22"/>
  <c r="M203" i="22"/>
  <c r="N203" i="22"/>
  <c r="J206" i="22"/>
  <c r="K206" i="22"/>
  <c r="L206" i="22"/>
  <c r="M206" i="22"/>
  <c r="N206" i="22"/>
  <c r="J207" i="22"/>
  <c r="K207" i="22"/>
  <c r="L207" i="22"/>
  <c r="M207" i="22"/>
  <c r="N207" i="22"/>
  <c r="J222" i="22"/>
  <c r="K222" i="22"/>
  <c r="L222" i="22"/>
  <c r="M222" i="22"/>
  <c r="N222" i="22"/>
  <c r="J223" i="22"/>
  <c r="K223" i="22"/>
  <c r="L223" i="22"/>
  <c r="M223" i="22"/>
  <c r="N223" i="22"/>
  <c r="J224" i="22"/>
  <c r="K224" i="22"/>
  <c r="L224" i="22"/>
  <c r="M224" i="22"/>
  <c r="N224" i="22"/>
  <c r="J239" i="22"/>
  <c r="K239" i="22"/>
  <c r="L239" i="22"/>
  <c r="M239" i="22"/>
  <c r="N239" i="22"/>
  <c r="J242" i="22"/>
  <c r="K242" i="22"/>
  <c r="L242" i="22"/>
  <c r="M242" i="22"/>
  <c r="N242" i="22"/>
  <c r="J246" i="22"/>
  <c r="K246" i="22"/>
  <c r="L246" i="22"/>
  <c r="M246" i="22"/>
  <c r="N246" i="22"/>
  <c r="J247" i="22"/>
  <c r="K247" i="22"/>
  <c r="L247" i="22"/>
  <c r="M247" i="22"/>
  <c r="N247" i="22"/>
  <c r="J248" i="22"/>
  <c r="K248" i="22"/>
  <c r="L248" i="22"/>
  <c r="M248" i="22"/>
  <c r="N248" i="22"/>
  <c r="J249" i="22"/>
  <c r="K249" i="22"/>
  <c r="L249" i="22"/>
  <c r="M249" i="22"/>
  <c r="N249" i="22"/>
  <c r="J250" i="22"/>
  <c r="K250" i="22"/>
  <c r="L250" i="22"/>
  <c r="M250" i="22"/>
  <c r="N250" i="22"/>
  <c r="J252" i="22"/>
  <c r="K252" i="22"/>
  <c r="L252" i="22"/>
  <c r="M252" i="22"/>
  <c r="N252" i="22"/>
  <c r="J253" i="22"/>
  <c r="K253" i="22"/>
  <c r="L253" i="22"/>
  <c r="M253" i="22"/>
  <c r="N253" i="22"/>
  <c r="J255" i="22"/>
  <c r="K255" i="22"/>
  <c r="L255" i="22"/>
  <c r="M255" i="22"/>
  <c r="N255" i="22"/>
  <c r="J256" i="22"/>
  <c r="K256" i="22"/>
  <c r="L256" i="22"/>
  <c r="M256" i="22"/>
  <c r="N256" i="22"/>
  <c r="J257" i="22"/>
  <c r="K257" i="22"/>
  <c r="L257" i="22"/>
  <c r="M257" i="22"/>
  <c r="N257" i="22"/>
  <c r="J262" i="22"/>
  <c r="K262" i="22"/>
  <c r="L262" i="22"/>
  <c r="M262" i="22"/>
  <c r="N262" i="22"/>
  <c r="J268" i="22"/>
  <c r="K268" i="22"/>
  <c r="L268" i="22"/>
  <c r="M268" i="22"/>
  <c r="N268" i="22"/>
  <c r="J276" i="22"/>
  <c r="K276" i="22"/>
  <c r="L276" i="22"/>
  <c r="M276" i="22"/>
  <c r="N276" i="22"/>
  <c r="J277" i="22"/>
  <c r="K277" i="22"/>
  <c r="L277" i="22"/>
  <c r="M277" i="22"/>
  <c r="N277" i="22"/>
  <c r="J278" i="22"/>
  <c r="K278" i="22"/>
  <c r="L278" i="22"/>
  <c r="M278" i="22"/>
  <c r="N278" i="22"/>
  <c r="J281" i="22"/>
  <c r="K281" i="22"/>
  <c r="L281" i="22"/>
  <c r="M281" i="22"/>
  <c r="N281" i="22"/>
  <c r="J286" i="22"/>
  <c r="K286" i="22"/>
  <c r="L286" i="22"/>
  <c r="M286" i="22"/>
  <c r="N286" i="22"/>
  <c r="J287" i="22"/>
  <c r="K287" i="22"/>
  <c r="L287" i="22"/>
  <c r="M287" i="22"/>
  <c r="N287" i="22"/>
  <c r="J290" i="22"/>
  <c r="K290" i="22"/>
  <c r="L290" i="22"/>
  <c r="M290" i="22"/>
  <c r="N290" i="22"/>
  <c r="J295" i="22"/>
  <c r="K295" i="22"/>
  <c r="L295" i="22"/>
  <c r="M295" i="22"/>
  <c r="N295" i="22"/>
  <c r="J296" i="22"/>
  <c r="K296" i="22"/>
  <c r="L296" i="22"/>
  <c r="M296" i="22"/>
  <c r="N296" i="22"/>
  <c r="J298" i="22"/>
  <c r="K298" i="22"/>
  <c r="L298" i="22"/>
  <c r="M298" i="22"/>
  <c r="N298" i="22"/>
  <c r="J300" i="22"/>
  <c r="K300" i="22"/>
  <c r="L300" i="22"/>
  <c r="M300" i="22"/>
  <c r="N300" i="22"/>
  <c r="J305" i="22"/>
  <c r="K305" i="22"/>
  <c r="L305" i="22"/>
  <c r="M305" i="22"/>
  <c r="N305" i="22"/>
  <c r="J306" i="22"/>
  <c r="K306" i="22"/>
  <c r="L306" i="22"/>
  <c r="M306" i="22"/>
  <c r="N306" i="22"/>
  <c r="J307" i="22"/>
  <c r="K307" i="22"/>
  <c r="L307" i="22"/>
  <c r="M307" i="22"/>
  <c r="N307" i="22"/>
  <c r="J309" i="22"/>
  <c r="K309" i="22"/>
  <c r="L309" i="22"/>
  <c r="M309" i="22"/>
  <c r="N309" i="22"/>
  <c r="J310" i="22"/>
  <c r="K310" i="22"/>
  <c r="L310" i="22"/>
  <c r="M310" i="22"/>
  <c r="N310" i="22"/>
  <c r="J312" i="22"/>
  <c r="K312" i="22"/>
  <c r="L312" i="22"/>
  <c r="M312" i="22"/>
  <c r="N312" i="22"/>
  <c r="J313" i="22"/>
  <c r="K313" i="22"/>
  <c r="L313" i="22"/>
  <c r="M313" i="22"/>
  <c r="N313" i="22"/>
  <c r="J323" i="22"/>
  <c r="K323" i="22"/>
  <c r="L323" i="22"/>
  <c r="M323" i="22"/>
  <c r="N323" i="22"/>
  <c r="J326" i="22"/>
  <c r="K326" i="22"/>
  <c r="L326" i="22"/>
  <c r="M326" i="22"/>
  <c r="N326" i="22"/>
  <c r="J327" i="22"/>
  <c r="K327" i="22"/>
  <c r="L327" i="22"/>
  <c r="M327" i="22"/>
  <c r="N327" i="22"/>
  <c r="J328" i="22"/>
  <c r="K328" i="22"/>
  <c r="L328" i="22"/>
  <c r="M328" i="22"/>
  <c r="N328" i="22"/>
  <c r="J330" i="22"/>
  <c r="K330" i="22"/>
  <c r="L330" i="22"/>
  <c r="M330" i="22"/>
  <c r="N330" i="22"/>
  <c r="J333" i="22"/>
  <c r="K333" i="22"/>
  <c r="L333" i="22"/>
  <c r="M333" i="22"/>
  <c r="N333" i="22"/>
  <c r="J338" i="22"/>
  <c r="K338" i="22"/>
  <c r="L338" i="22"/>
  <c r="M338" i="22"/>
  <c r="N338" i="22"/>
  <c r="J339" i="22"/>
  <c r="K339" i="22"/>
  <c r="L339" i="22"/>
  <c r="M339" i="22"/>
  <c r="N339" i="22"/>
  <c r="J341" i="22"/>
  <c r="K341" i="22"/>
  <c r="L341" i="22"/>
  <c r="M341" i="22"/>
  <c r="N341" i="22"/>
  <c r="K343" i="22"/>
  <c r="L343" i="22"/>
  <c r="M343" i="22"/>
  <c r="N343" i="22"/>
  <c r="J344" i="22"/>
  <c r="K344" i="22"/>
  <c r="L344" i="22"/>
  <c r="M344" i="22"/>
  <c r="N344" i="22"/>
  <c r="J346" i="22"/>
  <c r="K346" i="22"/>
  <c r="L346" i="22"/>
  <c r="M346" i="22"/>
  <c r="N346" i="22"/>
  <c r="J348" i="22"/>
  <c r="K348" i="22"/>
  <c r="L348" i="22"/>
  <c r="M348" i="22"/>
  <c r="N348" i="22"/>
  <c r="J350" i="22"/>
  <c r="K350" i="22"/>
  <c r="L350" i="22"/>
  <c r="M350" i="22"/>
  <c r="N350" i="22"/>
</calcChain>
</file>

<file path=xl/comments1.xml><?xml version="1.0" encoding="utf-8"?>
<comments xmlns="http://schemas.openxmlformats.org/spreadsheetml/2006/main">
  <authors>
    <author>BIWS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IPO Prospectus, pg. 47 of PDF.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CET 1 target will apply to both Shawbrook and the comparables, for use in calculating excess and deficit capital.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UK corporate tax rate, effective as of Q1-Q2 of 2015.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"Rounding this up" to get the total # to match up to the one in the filings.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"Rounding this down" to get the total # to match up to the one in the filings.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just the beginning balance here to avoid a circular reference.</t>
        </r>
      </text>
    </comment>
    <comment ref="K9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just the beginning balance here to avoid a circular reference.</t>
        </r>
      </text>
    </comment>
    <comment ref="L9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just the beginning balance here to avoid a circular reference.</t>
        </r>
      </text>
    </comment>
    <comment ref="M9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just the beginning balance here to avoid a circular reference.</t>
        </r>
      </text>
    </comment>
    <comment ref="N9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just the beginning balance here to avoid a circular reference.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From the IPO prospectus pg. 150. This is on a monthly basis for the historical numbers, but we use annual averages in the projections.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is because Shawbrook lists its Loan:Deposits ratio according to Net Loans, not Gross Loans.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We back into this number based on the targeted CET 1 and all the other requirements above it.</t>
        </r>
      </text>
    </comment>
    <comment ref="J20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Linking to beginning RWA to avoid the circular reference here; if circular references are enabled, we use the ending RWA balance instead.</t>
        </r>
      </text>
    </comment>
    <comment ref="K20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"Modest maiden dividend expected to be paid in 2016" per pg. 17 of investor presentation.</t>
        </r>
      </text>
    </comment>
    <comment ref="L20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"Rising to 30% of post-tax statutory profits by 2017 with a progressive policy thereafter"</t>
        </r>
      </text>
    </comment>
    <comment ref="M20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"Rising to 30% of post-tax statutory profits by 2017 with a progressive policy thereafter"</t>
        </r>
      </text>
    </comment>
    <comment ref="N20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"Rising to 30% of post-tax statutory profits by 2017 with a progressive policy thereafter"</t>
        </r>
      </text>
    </comment>
    <comment ref="J20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investor presentation pg. 17, 82M in proceeds net of fees and expenses.</t>
        </r>
      </text>
    </comment>
    <comment ref="K21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Taking the average of the past 5 years prior to the IPO.</t>
        </r>
      </text>
    </comment>
    <comment ref="J21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New Ordinary Shares + Over-allotment Option.</t>
        </r>
      </text>
    </comment>
    <comment ref="F26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Could NOT get the Balance Sheet to match up historically due to Gross/Net Loans mismatch - so just deducted difference here instead. This is lower by the differential of Gross Loans by Segment minus Gross Loans on BS.</t>
        </r>
      </text>
    </comment>
    <comment ref="G26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Could NOT get the Balance Sheet to match up historically due to Gross/Net Loans mismatch - so just deducted difference here instead. This is lower by the differential of Gross Loans by Segment minus Gross Loans on BS.</t>
        </r>
      </text>
    </comment>
    <comment ref="C28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Interest capitalized for 10 years; also combining these with "Loan Notes" from earlier periods.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Combining this with the smaller Provision for Liabilities and Charges.</t>
        </r>
      </text>
    </comment>
    <comment ref="I31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Tweaked slightly to get the cash flow numbers to match up.</t>
        </r>
      </text>
    </comment>
    <comment ref="C31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Assuming this is simply a PORTION of the cash balance - netted out in the cash calculation at the bottom.</t>
        </r>
      </text>
    </comment>
    <comment ref="C32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Combining this with the Increase in Provisions for Liabilities and Charges to reduce complexity.</t>
        </r>
      </text>
    </comment>
    <comment ref="C33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Negative 5 in second year because it represented a Loan Note repayment then… combining line items.</t>
        </r>
      </text>
    </comment>
    <comment ref="H34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Earlier cash balances don't reconcile due to restatements and our tweaks to make the BS figures match; so just starting from 2 years prior instead, since it doesn't even matter for banks (cash doesn't flow into the top of the BS).</t>
        </r>
      </text>
    </comment>
  </commentList>
</comments>
</file>

<file path=xl/comments2.xml><?xml version="1.0" encoding="utf-8"?>
<comments xmlns="http://schemas.openxmlformats.org/spreadsheetml/2006/main">
  <authors>
    <author>BIWS</author>
    <author>briandc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Commercial Lending + Other, pg. 9 of 2012 report.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Commercial Lending + Other, pg. 9 of 2012 report.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Source: UK ONS, ABMI seasonally adjusted chained volume GDP.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Source: UK ONS, ABMI seasonally adjusted chained volume GDP.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Source: UK ONS, ABMI seasonally adjusted chained volume GDP.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Source: UK ONS, ABMI seasonally adjusted chained volume GDP.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Source: UK ONS, ABMI seasonally adjusted chained volume GDP.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Using hard-coded figure for FY 09 from UK ONS data.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De Montfort report. 152 for BTL residential mortgages, from the Telegraph article.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De Montfort report. 159 for BTL residential mortgages, from the Telegraph article.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De Montfort report. 165 for BTL residential mortgages, from the Telegraph article.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Commercial Property + Residential Mortgages, pg. 52 of Prospectus. Technically Year End 2013 if you read the footnotes.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165.2 for commercial property, per the BPF article. 188 for BTL residential mortgages, from the Telegraph article.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6% average growth rate since the financial crisis, per the Small Business Finance report.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6% average growth rate since the financial crisis, per the Small Business Finance report.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6% average growth rate since the financial crisis, per the Small Business Finance report.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8% growth mentioned in prospectus, pg. 55.</t>
        </r>
      </text>
    </comment>
    <comment ref="I26" authorId="1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Pg. 52 of prospectus.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"Total Advances" for Q4 from ABFA data (Excel file).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"Total Advances" for Q4 from ABFA data (Excel file).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"Total Advances" for Q4 from ABFA data (Excel file).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"Total Advances" for Q4 from ABFA data (Excel file).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"Total Advances" for Q4 from ABFA data (Excel file).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chart on pg. 58 of prospectus.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chart on pg. 58 of prospectus.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chart on pg. 58 of prospectus.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chart on pg. 58 of prospectus.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chart on pg. 58 of prospectus.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12% growth estimate from Mintel report excerpt.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Nostrum Group article cites ~13% growth in the personal loans market, which is the bulk of this figure.</t>
        </r>
      </text>
    </comment>
  </commentList>
</comments>
</file>

<file path=xl/comments3.xml><?xml version="1.0" encoding="utf-8"?>
<comments xmlns="http://schemas.openxmlformats.org/spreadsheetml/2006/main">
  <authors>
    <author>BIWS</author>
  </authors>
  <commentList>
    <comment ref="D5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We use this rate to calculate the Normalized Net Income to Common after adding back the non-recurring IPO expenses.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We use this rate to calculate the Normalized Net Income to Common after adding back the non-recurring IPO expenses.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Backing into this since the company doesn't disclose non-cash adjustments in its interim reports.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Backing into this since the company doesn't disclose non-cash adjustments in its interim reports.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Assuming this is simply a PORTION of the cash balance - netted out in the cash calculation at the bottom.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Combining this with the Increase in Provisions for Liabilities and Charges to reduce complexity.</t>
        </r>
      </text>
    </comment>
  </commentList>
</comments>
</file>

<file path=xl/sharedStrings.xml><?xml version="1.0" encoding="utf-8"?>
<sst xmlns="http://schemas.openxmlformats.org/spreadsheetml/2006/main" count="1100" uniqueCount="472">
  <si>
    <t>Company Name:</t>
  </si>
  <si>
    <t>Ticker:</t>
  </si>
  <si>
    <t>Last Historical Year:</t>
  </si>
  <si>
    <t>Valuation Date:</t>
  </si>
  <si>
    <t>Historical - Net of Charge-Offs</t>
  </si>
  <si>
    <t>Projected - Prior to Charge-Offs</t>
  </si>
  <si>
    <t>Conversion Units:</t>
  </si>
  <si>
    <t>Current Share Price:</t>
  </si>
  <si>
    <t>Gross Loan Balance:</t>
  </si>
  <si>
    <t>Average Loan Balance:</t>
  </si>
  <si>
    <t>Key Metrics &amp; Ratios:</t>
  </si>
  <si>
    <t>Net Charge-Off Ratio:</t>
  </si>
  <si>
    <t>NCO / Prior Year Provision:</t>
  </si>
  <si>
    <t>Historical</t>
  </si>
  <si>
    <t>Projected</t>
  </si>
  <si>
    <t>Assets:</t>
  </si>
  <si>
    <t>Allowance for Loan Losses:</t>
  </si>
  <si>
    <t>Net Loans:</t>
  </si>
  <si>
    <t>Other Intangible Assets:</t>
  </si>
  <si>
    <t>Other Assets:</t>
  </si>
  <si>
    <t>Total Assets:</t>
  </si>
  <si>
    <t>Liabilities:</t>
  </si>
  <si>
    <t>Deposits:</t>
  </si>
  <si>
    <t>Total Liabilities:</t>
  </si>
  <si>
    <t>Retained Earnings:</t>
  </si>
  <si>
    <t>Balance Check:</t>
  </si>
  <si>
    <t>Other Assets % Growth:</t>
  </si>
  <si>
    <t>Net Interest Income:</t>
  </si>
  <si>
    <t>Non-Interest Expenses:</t>
  </si>
  <si>
    <t>Total Non-Interest Expenses:</t>
  </si>
  <si>
    <t>Net Income to Common:</t>
  </si>
  <si>
    <t>Effective Tax Rate:</t>
  </si>
  <si>
    <t>Operating Activities:</t>
  </si>
  <si>
    <t>Net Cash Flow from Operations:</t>
  </si>
  <si>
    <t>Investing Activities:</t>
  </si>
  <si>
    <t>Net Cash Flow from Investing:</t>
  </si>
  <si>
    <t>Financing Activities:</t>
  </si>
  <si>
    <t>Net Cash Flow from Financing:</t>
  </si>
  <si>
    <t>Beginning Cash Balance:</t>
  </si>
  <si>
    <t>Ending Cash Balance:</t>
  </si>
  <si>
    <t>CapEx % Revenue:</t>
  </si>
  <si>
    <t>Ending Cash on Balance Sheet:</t>
  </si>
  <si>
    <t>Tier 1 Capital:</t>
  </si>
  <si>
    <t>% Growth:</t>
  </si>
  <si>
    <t>Tier 2 Capital:</t>
  </si>
  <si>
    <t>RWA % Growth:</t>
  </si>
  <si>
    <t>Tangible Assets:</t>
  </si>
  <si>
    <t>Total Capital Ratio:</t>
  </si>
  <si>
    <t># Shares Issued:</t>
  </si>
  <si>
    <t>Income Statement:</t>
  </si>
  <si>
    <t>Return on Common Equity:</t>
  </si>
  <si>
    <t>Return on Tangible Common Equity:</t>
  </si>
  <si>
    <t>Return on Assets:</t>
  </si>
  <si>
    <t>Return on Tangible Assets:</t>
  </si>
  <si>
    <t>Overhead Ratio:</t>
  </si>
  <si>
    <t>Ending Common Shares:</t>
  </si>
  <si>
    <t>SHAW</t>
  </si>
  <si>
    <t>Customer Deposits:</t>
  </si>
  <si>
    <t>Other Liabilities:</t>
  </si>
  <si>
    <t>Net Fee and Commission Income:</t>
  </si>
  <si>
    <r>
      <t xml:space="preserve">(GBP </t>
    </r>
    <r>
      <rPr>
        <sz val="11"/>
        <color indexed="8"/>
        <rFont val="Calibri"/>
        <family val="2"/>
      </rPr>
      <t>£ in Millions Except Per Share and Per Unit Data)</t>
    </r>
  </si>
  <si>
    <t>Stock Information:</t>
  </si>
  <si>
    <t>Fair Value Losses on Financial Instruments</t>
  </si>
  <si>
    <t>Cash and Balances at Central Banks:</t>
  </si>
  <si>
    <t>Increase in Loans and Advances to Banks:</t>
  </si>
  <si>
    <t>Increase in Due to Banks:</t>
  </si>
  <si>
    <t>Cash and Balances at Central Banks % Deposits:</t>
  </si>
  <si>
    <t>Selected Scenario</t>
  </si>
  <si>
    <t>Downside</t>
  </si>
  <si>
    <t>Base</t>
  </si>
  <si>
    <t>Upside</t>
  </si>
  <si>
    <t>RWA % IEA:</t>
  </si>
  <si>
    <t>Normalized Net Income to Common:</t>
  </si>
  <si>
    <t>Net Interest Margin:</t>
  </si>
  <si>
    <t>£ M</t>
  </si>
  <si>
    <t>Units:</t>
  </si>
  <si>
    <t>Commercial Mortgages:</t>
  </si>
  <si>
    <t>Asset Finance:</t>
  </si>
  <si>
    <t>Business Credit:</t>
  </si>
  <si>
    <t>Secured Lending:</t>
  </si>
  <si>
    <t>Consumer Lending:</t>
  </si>
  <si>
    <t>Total Loans and Advances to Customers:</t>
  </si>
  <si>
    <t>Total Loan Portfolio Growth Rate:</t>
  </si>
  <si>
    <t>Gross Loans:</t>
  </si>
  <si>
    <t>%</t>
  </si>
  <si>
    <t>Cash Flow Statement:</t>
  </si>
  <si>
    <t>Balance Sheet:</t>
  </si>
  <si>
    <t>Loan Portfolio Projections:</t>
  </si>
  <si>
    <t>United Kingdom Nominal GDP:</t>
  </si>
  <si>
    <t>£ B</t>
  </si>
  <si>
    <t>Total Addressable Lending Market:</t>
  </si>
  <si>
    <t>Total Addressable Loan Markets by Segment:</t>
  </si>
  <si>
    <t>Selected Nominal GDP Growth Rate:</t>
  </si>
  <si>
    <t>Addressable Lending Market Sizes as %'s of Nominal GDP:</t>
  </si>
  <si>
    <t>Provisions for Credit Losses:</t>
  </si>
  <si>
    <t>Total Provisions for Credit Losses:</t>
  </si>
  <si>
    <t>Beginning Allowance for Loan Losses:</t>
  </si>
  <si>
    <t>Ending Allowance for Loan Losses:</t>
  </si>
  <si>
    <t>Net Charge-Offs  / Reserves:</t>
  </si>
  <si>
    <t>Reserve Ratio:</t>
  </si>
  <si>
    <t>Impaired Loans (Non-Performing Loans):</t>
  </si>
  <si>
    <t>Charge-Offs &amp; Loan Loss Reserves:</t>
  </si>
  <si>
    <t>(-) Net Charge-Offs (Provisions Utilized):</t>
  </si>
  <si>
    <t>(+) Provisions Acquired:</t>
  </si>
  <si>
    <t>(+) Provisions for Credit Losses:</t>
  </si>
  <si>
    <t>Provisions for Credit Losses % Average Loan Balances:</t>
  </si>
  <si>
    <t>Net Charge-Offs % Average Gross Loans:</t>
  </si>
  <si>
    <t>Acquisition Costs:</t>
  </si>
  <si>
    <t>(+) Interest Income:</t>
  </si>
  <si>
    <t>(-) Interest Expense:</t>
  </si>
  <si>
    <t>Total Net Interest Income:</t>
  </si>
  <si>
    <t>Net Income from Operating Leases:</t>
  </si>
  <si>
    <t>(+) Other Income:</t>
  </si>
  <si>
    <t>(-) Depreciation on Operating Leases:</t>
  </si>
  <si>
    <t>Total Net Income from Operating Leases:</t>
  </si>
  <si>
    <t>(-) Provisions for Credit Losses:</t>
  </si>
  <si>
    <t>(-) Provision for Liabilities and Charges</t>
  </si>
  <si>
    <t>(+) Fee and Commission Income:</t>
  </si>
  <si>
    <t>(-) Fee and Commission Expense:</t>
  </si>
  <si>
    <t>(-) Fair Value Losses on Financial Instruments:</t>
  </si>
  <si>
    <t>Pre-Tax Income:</t>
  </si>
  <si>
    <t>Gross Loans, Net of Charge-Offs:</t>
  </si>
  <si>
    <t>% Allowance for Loan Losses:</t>
  </si>
  <si>
    <t>NPLs / Gross Loans:</t>
  </si>
  <si>
    <t xml:space="preserve">Interest-Earning Assets (IEA) and </t>
  </si>
  <si>
    <t>Interest-Bearing Liabilities (IBL):</t>
  </si>
  <si>
    <t>Dividends and Stock Issuances:</t>
  </si>
  <si>
    <t>Income Statement Drivers:</t>
  </si>
  <si>
    <t>ASSETS:</t>
  </si>
  <si>
    <t>LIABILITIES &amp; EQUITY:</t>
  </si>
  <si>
    <t>Deferred Tax Assets:</t>
  </si>
  <si>
    <t>Property, Plant and Equipment (PP&amp;E):</t>
  </si>
  <si>
    <t>(-) Allowance for Loan Losses:</t>
  </si>
  <si>
    <t>Loans and Advances to Banks:</t>
  </si>
  <si>
    <t>Investment Securities - Available for Sale:</t>
  </si>
  <si>
    <t>Derivative Financial Instruments:</t>
  </si>
  <si>
    <t>Due to Banks:</t>
  </si>
  <si>
    <t>Reserves:</t>
  </si>
  <si>
    <t>Share Capital &amp; Share Premium:</t>
  </si>
  <si>
    <t>Total Liabilities &amp; Equity:</t>
  </si>
  <si>
    <t>Equity:</t>
  </si>
  <si>
    <t>Total Equity:</t>
  </si>
  <si>
    <t>BS and CFS Drivers:</t>
  </si>
  <si>
    <t>Adjustments for Non-Cash Items:</t>
  </si>
  <si>
    <t>Amortization % Revenue:</t>
  </si>
  <si>
    <t>(-) Acquisition Costs:</t>
  </si>
  <si>
    <t>(-) Staff Costs:</t>
  </si>
  <si>
    <t>(+) Profit on Disposal of Fixed Assets:</t>
  </si>
  <si>
    <t>(-) Amortization of Intangible Assets:</t>
  </si>
  <si>
    <t>(-) Operating Lease Rentals - Land and Buildings:</t>
  </si>
  <si>
    <t>(-) Impairment of Intercompany Balance:</t>
  </si>
  <si>
    <t>(-) Other Administrative Expenses:</t>
  </si>
  <si>
    <t>(+) Depreciation:</t>
  </si>
  <si>
    <t>(+) Amortization of Intangible Assets:</t>
  </si>
  <si>
    <t>(+) Capitalization of Subordinated Debt Interest:</t>
  </si>
  <si>
    <t>(-) Net Purchases of PP&amp;E (CapEx):</t>
  </si>
  <si>
    <t>(-) Purchases of Intangible Assets:</t>
  </si>
  <si>
    <t>(-) Investments in Subsidiaries, Net of Cash:</t>
  </si>
  <si>
    <t>(+) Sales of PP&amp;E:</t>
  </si>
  <si>
    <t>(-) Repayment of Third Party Funding:</t>
  </si>
  <si>
    <t>(+) Proceeds from Common Share Issuances:</t>
  </si>
  <si>
    <t>(-) Dividends Paid:</t>
  </si>
  <si>
    <t>Net Change in Cash:</t>
  </si>
  <si>
    <t>Less: Mandatory Deposits with Central Banks:</t>
  </si>
  <si>
    <t>Cash &amp; Cash-Equivalents:</t>
  </si>
  <si>
    <t>Matching Cash Check:</t>
  </si>
  <si>
    <t>Staff Costs % of Net Revenue:</t>
  </si>
  <si>
    <t>Changes in Operating Assets and Liabilities:</t>
  </si>
  <si>
    <t>(-) Cash Taxes Paid &amp; Purchase of Tax Losses:</t>
  </si>
  <si>
    <t>Mandatory Balances with Central Banks:</t>
  </si>
  <si>
    <t>Loans and Advances to Customers:</t>
  </si>
  <si>
    <t>Derivatives:</t>
  </si>
  <si>
    <t>Fair Value Losses &amp; Amortization:</t>
  </si>
  <si>
    <t>(+) Operating Lease Rental Income:</t>
  </si>
  <si>
    <t>(-) Depreciation (Excluding Operating Leases):</t>
  </si>
  <si>
    <t>Total Gross Loans:</t>
  </si>
  <si>
    <t>Total Interest-Earning Assets (IEA):</t>
  </si>
  <si>
    <t>Average Interest-Earning Assets (IEA):</t>
  </si>
  <si>
    <t>Interest Income Earned On:</t>
  </si>
  <si>
    <t>Average Yield Earned On:</t>
  </si>
  <si>
    <t>Average Annual 3-Month LIBOR:</t>
  </si>
  <si>
    <t>LIBOR Spread on Yield Earned On:</t>
  </si>
  <si>
    <t>Interest Expense Paid On:</t>
  </si>
  <si>
    <t>Other:</t>
  </si>
  <si>
    <t>Average Interest Rate Paid On:</t>
  </si>
  <si>
    <t>LIBOR Spread on Interest Paid On:</t>
  </si>
  <si>
    <t>Total Interest-Bearing Liabilities (IBL):</t>
  </si>
  <si>
    <t>Avg. Interest-Bearing Liabilities (IBL):</t>
  </si>
  <si>
    <t>Investment Securities - AFS % Deposits:</t>
  </si>
  <si>
    <t>Derivative Financial Instruments % Deposits:</t>
  </si>
  <si>
    <t>Other Liabilities % Gross Loans:</t>
  </si>
  <si>
    <t>Derivative Financial Instruments % Gross Loans:</t>
  </si>
  <si>
    <t>Reverse Income Tax Expense or Benefit:</t>
  </si>
  <si>
    <t>INTEREST-EARNING ASSETS (IEA):</t>
  </si>
  <si>
    <t>INTEREST-BEARING LIABILITIES (IBL):</t>
  </si>
  <si>
    <t>(+) Increase in Amounts Due to Banks:</t>
  </si>
  <si>
    <t>Subordinated Notes:</t>
  </si>
  <si>
    <t>(+/-) Deferred Taxes:</t>
  </si>
  <si>
    <t>Total Taxes on Income Statement:</t>
  </si>
  <si>
    <t>(+) Increase in Subordinated Notes:</t>
  </si>
  <si>
    <t>Subordinated Increase % Gross Loans Increase:</t>
  </si>
  <si>
    <t>(+) Cash Taxes in Current Year:</t>
  </si>
  <si>
    <t>Revenue (Net Operating Income):</t>
  </si>
  <si>
    <t>Purchases of Intangible Assets % Revenue:</t>
  </si>
  <si>
    <t>Sales of PP&amp;E % Revenue:</t>
  </si>
  <si>
    <t>Investments in Subsidiaries, Net of Cash:</t>
  </si>
  <si>
    <t>Impairment of Intercompany Balance:</t>
  </si>
  <si>
    <t>(-) Profit on Sale of PP&amp;E:</t>
  </si>
  <si>
    <t>Provision for Liabilities and Charges % Revenue:</t>
  </si>
  <si>
    <t>Fee Income % Average Gross Loans:</t>
  </si>
  <si>
    <t>Fee Expense % Average Gross Loans:</t>
  </si>
  <si>
    <t>Operating Lease Rental Income Growth Rate:</t>
  </si>
  <si>
    <t>Other Income Growth Rate:</t>
  </si>
  <si>
    <t>Depreciation % Operating Lease Rental Income:</t>
  </si>
  <si>
    <t>Non-Operating-Lease Depreciation % Revenue:</t>
  </si>
  <si>
    <t>Employee Count:</t>
  </si>
  <si>
    <t># Employees</t>
  </si>
  <si>
    <t>Revenue per Employee:</t>
  </si>
  <si>
    <t>Staff Costs per Employee:</t>
  </si>
  <si>
    <t>Operating Lease Rentals % Revenue:</t>
  </si>
  <si>
    <t>Other Administrative Expenses % Revenue:</t>
  </si>
  <si>
    <t>Change in Reserves:</t>
  </si>
  <si>
    <t>Profit on Sale of PP&amp;E % Revenue:</t>
  </si>
  <si>
    <t>Mandatory Central Bank Balances % Cash:</t>
  </si>
  <si>
    <t>(-) Income Tax Expense / (+) Tax Benefit:</t>
  </si>
  <si>
    <t>Other Revenue and Expenses:</t>
  </si>
  <si>
    <t>Repayment of Third Party Funding:</t>
  </si>
  <si>
    <t>Proceeds from Common Share Issuances:</t>
  </si>
  <si>
    <t>Net Stable Funding Ratio (NSFR):</t>
  </si>
  <si>
    <t>Liquidity Coverage Ratio (LCR):</t>
  </si>
  <si>
    <t>Risk-Weighted Assets (RWA):</t>
  </si>
  <si>
    <t>Pre-Dividend and Stock Repurchase CET 1:</t>
  </si>
  <si>
    <t>Required CET 1 Capital %:</t>
  </si>
  <si>
    <t>Capital Conservation Buffer:</t>
  </si>
  <si>
    <t>Countercyclical Buffer:</t>
  </si>
  <si>
    <t>Bank's Discretionary Buffer:</t>
  </si>
  <si>
    <t>Capital Available for Dividends:</t>
  </si>
  <si>
    <t>Minimum CET1 Required:</t>
  </si>
  <si>
    <t>Targeted Dividend Payout Ratio:</t>
  </si>
  <si>
    <t>Targeted Dividends:</t>
  </si>
  <si>
    <t>Issued Dividends:</t>
  </si>
  <si>
    <t>M Shares</t>
  </si>
  <si>
    <t>Average Stock Price of Issued Shares:</t>
  </si>
  <si>
    <t># Shares Issued in IPO:</t>
  </si>
  <si>
    <t>Proceeds from Shares Issued in IPOs/FOs:</t>
  </si>
  <si>
    <t>Total Proceeds:</t>
  </si>
  <si>
    <t>Total # Shares Issued:</t>
  </si>
  <si>
    <t>£ / Share</t>
  </si>
  <si>
    <t>Total Assets + Prior Loans and Adv. to Banks:</t>
  </si>
  <si>
    <t>Total L&amp;E + Prior Due to Banks:</t>
  </si>
  <si>
    <t>Balancers: Loans and Advances to Banks and Amounts Due to Banks:</t>
  </si>
  <si>
    <t>Common Equity Tier 1 (CET 1):</t>
  </si>
  <si>
    <t>(+) Additional Tier 1 Capital:</t>
  </si>
  <si>
    <t>(+) Convertible Bonds:</t>
  </si>
  <si>
    <t>(+) Subordinated Notes:</t>
  </si>
  <si>
    <t>(+) Qualifying Allowance for LLs:</t>
  </si>
  <si>
    <t>Total Tier 2 Capital:</t>
  </si>
  <si>
    <t>Allowance for LLs - % Qualifying for Tier 2 Capital:</t>
  </si>
  <si>
    <t>Total Regulatory Capital:</t>
  </si>
  <si>
    <t>(-) Goodwill &amp; Other Intangible Assets:</t>
  </si>
  <si>
    <t>(-) Preferred Stock &amp; NCI:</t>
  </si>
  <si>
    <t>Tangible Common Equity (TCE):</t>
  </si>
  <si>
    <t>Common Equity Tier 1 (CET1) Ratio:</t>
  </si>
  <si>
    <t>Tier 1 Capital Ratio:</t>
  </si>
  <si>
    <t>Tangible Common Equity (TCE) Ratio:</t>
  </si>
  <si>
    <t>RWA % Interest-Earning Assets:</t>
  </si>
  <si>
    <t>Leverage Ratio:</t>
  </si>
  <si>
    <t>(+) Off-Balance Sheet Items:</t>
  </si>
  <si>
    <t>(+) Derivative Exposure Items:</t>
  </si>
  <si>
    <t>Leverage Ratio Exposure:</t>
  </si>
  <si>
    <t>Derivative Exposure % On-BS Derivatives:</t>
  </si>
  <si>
    <t>Off-Balance Sheet Item % On-BS Gross Loans:</t>
  </si>
  <si>
    <t>N/A</t>
  </si>
  <si>
    <t>Liquid Assets:</t>
  </si>
  <si>
    <t>Total Liquid Assets:</t>
  </si>
  <si>
    <t>Net Cash Outflows:</t>
  </si>
  <si>
    <t>(+) Cash:</t>
  </si>
  <si>
    <t>(+) Marketable Sec. - Central Banks/Sovereigns:</t>
  </si>
  <si>
    <t>(+) Debt Securities - Central Banks/Sovereigns:</t>
  </si>
  <si>
    <t>Total Net Cash Outflows:</t>
  </si>
  <si>
    <t>(+) Other Securities and Bonds:</t>
  </si>
  <si>
    <t>(+) Percentage of Retail and SME Deposits:</t>
  </si>
  <si>
    <t>(+) Unsecured Wholesale Deposits:</t>
  </si>
  <si>
    <t>(+) Secured Funding:</t>
  </si>
  <si>
    <t>(+) Derivatives Payable:</t>
  </si>
  <si>
    <t>(+) Committed Credit &amp; Contractual Obligations:</t>
  </si>
  <si>
    <t>(-) Reverse Repo and Securities Borrowing:</t>
  </si>
  <si>
    <t>(-) Lines of Credit and Operational Deposits:</t>
  </si>
  <si>
    <t>Run-Off Rate - Retail Deposits:</t>
  </si>
  <si>
    <t>Finance Lease Receivables (&lt;= 1 Year):</t>
  </si>
  <si>
    <t>Installment Credit Receivables (&lt;= 1 Year):</t>
  </si>
  <si>
    <t>% Gross Loans:</t>
  </si>
  <si>
    <t>Company-Reported LCR:</t>
  </si>
  <si>
    <t>(-) % of Retail / SME Scheduled Repayments:</t>
  </si>
  <si>
    <t>% Qualifying Retail and SME Repayments:</t>
  </si>
  <si>
    <t>Available Stable Funding:</t>
  </si>
  <si>
    <t>(+) Preferred Stock (&gt;= 1 Year, Not Yet Incl.):</t>
  </si>
  <si>
    <t>(+) Liabilities with &gt;= 1 Year Maturities:</t>
  </si>
  <si>
    <t>(+) Deposits, After ASF Factor:</t>
  </si>
  <si>
    <t>(+) Wholesale Funding, After ASF Factor:</t>
  </si>
  <si>
    <t>Total Available Stable Funding (ASF):</t>
  </si>
  <si>
    <t>Required Stable Funding:</t>
  </si>
  <si>
    <t>Mortgages and Retail/SME Loans (&gt;= 1 Year):</t>
  </si>
  <si>
    <t>Retail/SME Loans (&lt; 1 Year):</t>
  </si>
  <si>
    <t>Gold/Equities:</t>
  </si>
  <si>
    <t>Corporate Bonds:</t>
  </si>
  <si>
    <t>Marketable Securities:</t>
  </si>
  <si>
    <t>Cash and Money-Market:</t>
  </si>
  <si>
    <t>All Other On-Balance Sheet Assets:</t>
  </si>
  <si>
    <t>Off-Balance Sheet Assets:</t>
  </si>
  <si>
    <t>Total Required Stable Funding (RSF):</t>
  </si>
  <si>
    <t>(+) Gold/Equities:</t>
  </si>
  <si>
    <t>(+) Mortgages and Retail/SME Loans (&gt;= 1 Year):</t>
  </si>
  <si>
    <t>(+) Retail/SME Loans (&lt; 1 Year):</t>
  </si>
  <si>
    <t>(+) All Other On-Balance Sheet Assets:</t>
  </si>
  <si>
    <t>(+) Off-Balance Sheet Assets:</t>
  </si>
  <si>
    <t>(+) Cash and Unencumbered Loans to Banks:</t>
  </si>
  <si>
    <t>(+) Corporate Bonds (&gt;= 1 Year):</t>
  </si>
  <si>
    <t>(+) Marketable Securities to Sov./Central Banks:</t>
  </si>
  <si>
    <t>(-) Encumbered Net Loans:</t>
  </si>
  <si>
    <t>Unencumbered Net Loans:</t>
  </si>
  <si>
    <t>Future Net Loan Inflows &gt;= 1 Year:</t>
  </si>
  <si>
    <t>Future Net Loan Inflows &lt; 1 Year:</t>
  </si>
  <si>
    <t>Total Future Net Loan Inflows:</t>
  </si>
  <si>
    <t>Net Loans % Encumbered:</t>
  </si>
  <si>
    <t>Estimated % Loans w/ &gt;= 1-Year Maturity:</t>
  </si>
  <si>
    <t>Estimated % Loans w/ &lt; 1-Year Maturity:</t>
  </si>
  <si>
    <t>Estimated Unenc. Net Loans &gt;= 1-Year Maturity:</t>
  </si>
  <si>
    <t>Estimated Unenc. Net Loans &lt; 1-Year Maturity:</t>
  </si>
  <si>
    <t>"Stable" Deposit:</t>
  </si>
  <si>
    <t>"Less Stable" Deposit:</t>
  </si>
  <si>
    <t>Wholesale Funding/Other Deposit:</t>
  </si>
  <si>
    <t>Available Stable Funding (ASF) Adjustment Factors:</t>
  </si>
  <si>
    <t>Required Stable Funding (RSF) Adjustment Factors:</t>
  </si>
  <si>
    <t>Company-Reported NSFR:</t>
  </si>
  <si>
    <t>Systemically Important Financial Inst. Buffer:</t>
  </si>
  <si>
    <t>Required Capital Ratios (Including Conservation Buffer, But Not Countercyclical Buffer or SIFI Buffer):</t>
  </si>
  <si>
    <t>Required LCR Under Basel III:</t>
  </si>
  <si>
    <t>Required NSFR Under Basel III:</t>
  </si>
  <si>
    <t>Operating Metrics and Ratios:</t>
  </si>
  <si>
    <t>Net Loans / Total Assets:</t>
  </si>
  <si>
    <t>Deposits / Total Liabilities &amp; Equity:</t>
  </si>
  <si>
    <t>Net Loans / Deposits:</t>
  </si>
  <si>
    <t>Net Charge-Offs / Reserves:</t>
  </si>
  <si>
    <t>Return on Equity:</t>
  </si>
  <si>
    <t>Average Interest Rate on IEA:</t>
  </si>
  <si>
    <t>Average Interest on IBL:</t>
  </si>
  <si>
    <t>Net Interest Income / Revenue:</t>
  </si>
  <si>
    <t>Dividend Payout Ratio:</t>
  </si>
  <si>
    <t>Balance Sheet Drivers:</t>
  </si>
  <si>
    <t>Cash Flow Statement Drivers:</t>
  </si>
  <si>
    <t>Deferred Taxes % Income Statement Taxes:</t>
  </si>
  <si>
    <t>Earnings Per Share (EPS):</t>
  </si>
  <si>
    <t>Weighted Average Shares:</t>
  </si>
  <si>
    <t>Revenue:</t>
  </si>
  <si>
    <t>Total Revenue:</t>
  </si>
  <si>
    <t>Earnings per Share (EPS):</t>
  </si>
  <si>
    <t>Income Statement Summary:</t>
  </si>
  <si>
    <t>Balance Sheet Summary:</t>
  </si>
  <si>
    <t>Book Value:</t>
  </si>
  <si>
    <t>Tangible Book Value:</t>
  </si>
  <si>
    <t>Operational Metrics &amp; Ratios:</t>
  </si>
  <si>
    <t>Spread Between IEA and IBL Rates:</t>
  </si>
  <si>
    <t>Regulatory Capital:</t>
  </si>
  <si>
    <t>Fees, Rental Income &amp; Other:</t>
  </si>
  <si>
    <t>Other Provisions and Non-Interest Expenses:</t>
  </si>
  <si>
    <t>Targeted Common Equity Tier 1 (CET1) Ratio:</t>
  </si>
  <si>
    <t>General Assumptions:</t>
  </si>
  <si>
    <t>UK Nominal GDP Growth Rates:</t>
  </si>
  <si>
    <t>(-) IPO-Related Costs:</t>
  </si>
  <si>
    <t>(+) Profit / (-) Loss on Disposal of Fixed Assets:</t>
  </si>
  <si>
    <t>Normalized Pre-Tax Income:</t>
  </si>
  <si>
    <t>(+) Non-Recurring Add-Back: IPO-Related Costs:</t>
  </si>
  <si>
    <t>FY15 - 1H</t>
  </si>
  <si>
    <t>(-) Profit / (+) Loss on Sale of PP&amp;E:</t>
  </si>
  <si>
    <t>Other Adjustments:</t>
  </si>
  <si>
    <t>(Fiscal Year Ends December 31)</t>
  </si>
  <si>
    <t>Last Twelve Months (LTM) Period:</t>
  </si>
  <si>
    <t>Common Equity Tier 1 (CET 1) Target:</t>
  </si>
  <si>
    <t>FY14 - 1H</t>
  </si>
  <si>
    <t>Tax Rate:</t>
  </si>
  <si>
    <t>Shawbrook Group PLC</t>
  </si>
  <si>
    <t>Enable Circular References?</t>
  </si>
  <si>
    <t>£ as Stated</t>
  </si>
  <si>
    <t>Net Loans % Customer Deposits:</t>
  </si>
  <si>
    <t>Fixed-Rate Deposits:</t>
  </si>
  <si>
    <t>Variable-Rate Deposits:</t>
  </si>
  <si>
    <t>Total:</t>
  </si>
  <si>
    <t>% Fixed-Rate:</t>
  </si>
  <si>
    <t>% Variable:</t>
  </si>
  <si>
    <t>Average Deposits - Fixed vs. Variable Rates:</t>
  </si>
  <si>
    <t>other dilutive securities, so basic shares = diluted shares as</t>
  </si>
  <si>
    <t>of the valuation date.</t>
  </si>
  <si>
    <t xml:space="preserve">Company had no options, warrants, RSUs, convertibles, or </t>
  </si>
  <si>
    <t>Basic/Diluted Shares Outstanding:</t>
  </si>
  <si>
    <t>Excess / (Deficit) Captial:</t>
  </si>
  <si>
    <t>Regulatory Capital Calculations:</t>
  </si>
  <si>
    <t>Liquidity Coverage Ratio Calculations:</t>
  </si>
  <si>
    <t>Net Stable Funding Ratio Calculations:</t>
  </si>
  <si>
    <t>1H Results - Reported Income Statement:</t>
  </si>
  <si>
    <t>1H Results - Reported Cash Flow Statement:</t>
  </si>
  <si>
    <t>1H Results - Reported Balance Sheet:</t>
  </si>
  <si>
    <t>Summary of Financial Model:</t>
  </si>
  <si>
    <t>(-) Mandatory Deposits with Central Banks:</t>
  </si>
  <si>
    <t>(-) Provision for Liabilities and Charges:</t>
  </si>
  <si>
    <t>Recap and Summary</t>
  </si>
  <si>
    <t>Part 1: How Much in Dividends Can a Bank Issue?</t>
  </si>
  <si>
    <r>
      <t xml:space="preserve">Depends on the bank's Net Income and </t>
    </r>
    <r>
      <rPr>
        <b/>
        <sz val="11"/>
        <color theme="1"/>
        <rFont val="Calibri"/>
        <family val="2"/>
        <scheme val="minor"/>
      </rPr>
      <t>regulatory capital levels</t>
    </r>
    <r>
      <rPr>
        <sz val="11"/>
        <color theme="1"/>
        <rFont val="Calibri"/>
        <family val="2"/>
        <scheme val="minor"/>
      </rPr>
      <t xml:space="preserve"> - remember that unlike with a normal company,</t>
    </r>
  </si>
  <si>
    <t>we can't just assume a simple payout ratio because the bank has to maintain certain capital levels at all times.</t>
  </si>
  <si>
    <t>(And a certain liquidity coverage ratio, net stable funding ratio, leverage ratio, etc., but let's just stick to one</t>
  </si>
  <si>
    <t>requirement for now…)</t>
  </si>
  <si>
    <r>
      <t xml:space="preserve">So in both a 3-statement model and a dividend discount model, you typically </t>
    </r>
    <r>
      <rPr>
        <b/>
        <sz val="11"/>
        <color theme="1"/>
        <rFont val="Calibri"/>
        <family val="2"/>
        <scheme val="minor"/>
      </rPr>
      <t>back into</t>
    </r>
    <r>
      <rPr>
        <sz val="11"/>
        <color theme="1"/>
        <rFont val="Calibri"/>
        <family val="2"/>
        <scheme val="minor"/>
      </rPr>
      <t xml:space="preserve"> the dividends a bank</t>
    </r>
  </si>
  <si>
    <t>issues by assuming a targeted payout ratio, and seeing if they can actually pay out that much in dividends and</t>
  </si>
  <si>
    <t xml:space="preserve">maintain their CET 1 above a certain level; if they can, great, if not, issue reduced dividends such that they </t>
  </si>
  <si>
    <t>maintain that capital level.</t>
  </si>
  <si>
    <t xml:space="preserve">Other requirements: LCR and NSFR are tricky to factor into this and would make the calculation incredibly </t>
  </si>
  <si>
    <t>complicated, so we're ignoring them; we could potentially look at the Leverage Ratio as well, but Shawbrook</t>
  </si>
  <si>
    <t>is currently at 6-7% and there's no real chance of falling below that to the real minimum.</t>
  </si>
  <si>
    <r>
      <rPr>
        <b/>
        <sz val="11"/>
        <color theme="1"/>
        <rFont val="Calibri"/>
        <family val="2"/>
        <scheme val="minor"/>
      </rPr>
      <t>Stock Issuances and Repurchases:</t>
    </r>
    <r>
      <rPr>
        <sz val="11"/>
        <color theme="1"/>
        <rFont val="Calibri"/>
        <family val="2"/>
        <scheme val="minor"/>
      </rPr>
      <t xml:space="preserve"> Will also impact this because stock issuances will increase CET 1, and stock</t>
    </r>
  </si>
  <si>
    <t>repurchases will decrease CET 1. But we're ignoring repurchases here - not common for a high-growth company.</t>
  </si>
  <si>
    <t>Stock Issuances - Will assume some amount and say that these increase the capital available for dividends.</t>
  </si>
  <si>
    <r>
      <t>Approach:</t>
    </r>
    <r>
      <rPr>
        <sz val="11"/>
        <color theme="1"/>
        <rFont val="Calibri"/>
        <family val="2"/>
        <scheme val="minor"/>
      </rPr>
      <t xml:space="preserve"> Start with old CET 1, add this year's Net Income, factor in other changes to CET 1 in this year such as</t>
    </r>
  </si>
  <si>
    <t>stock issuances, and compare the capital available with the minimum capital the company needs at all times.</t>
  </si>
  <si>
    <t>Part 2: Projecting the Dividends</t>
  </si>
  <si>
    <r>
      <t xml:space="preserve">capital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any dividends/repurchases.</t>
    </r>
  </si>
  <si>
    <t>implemented. Minimum CET 1 Ratio was 4.5%, but that increases when you include the capital conservation buffer</t>
  </si>
  <si>
    <t>and the countercyclical buffer.</t>
  </si>
  <si>
    <t>Those are both being phased in through 2019… so we reflect that in the model. SIFI doesn't apply to Shawbrook</t>
  </si>
  <si>
    <t>since it's not "systemically important" according to the EU/UK authorities.</t>
  </si>
  <si>
    <r>
      <t>However</t>
    </r>
    <r>
      <rPr>
        <sz val="11"/>
        <color theme="1"/>
        <rFont val="Calibri"/>
        <family val="2"/>
        <scheme val="minor"/>
      </rPr>
      <t>, we're going to be extra conservative and assume a 13% targeted CET 1 Ratio for this entire period,</t>
    </r>
  </si>
  <si>
    <t>so that the level is the same each time. It's just that in the beginning, the bank will have more of a discretionary</t>
  </si>
  <si>
    <t>buffer, but at the end it will be closer to the real requirements.</t>
  </si>
  <si>
    <t>the Balance Sheet and Retained Earnings, and so they impact the BS balancers, one of which counts as an IEA.</t>
  </si>
  <si>
    <t>according to the investor presentation and IPO prospectus… so we'll go with those numbers, and assume a gradual</t>
  </si>
  <si>
    <t>increase over time. Most large banks in this market have 40-50% payout ratios, so that seems like a good ceiling.</t>
  </si>
  <si>
    <t>Part 3: Projecting Share Issuances and Shares Issued</t>
  </si>
  <si>
    <t>We already have the value of shares issued from the IPO prospectus and the 1H interim report - can also get the</t>
  </si>
  <si>
    <t># of shares issued in the IPO from that.</t>
  </si>
  <si>
    <r>
      <t>After the First Projected Year:</t>
    </r>
    <r>
      <rPr>
        <sz val="11"/>
        <color theme="1"/>
        <rFont val="Calibri"/>
        <family val="2"/>
        <scheme val="minor"/>
      </rPr>
      <t xml:space="preserve"> No more IPOs, of course, but regular share issuances will continue… we are just</t>
    </r>
  </si>
  <si>
    <t>using the historical average, in the absence of other information or projections from the company.</t>
  </si>
  <si>
    <r>
      <rPr>
        <b/>
        <sz val="11"/>
        <color theme="1"/>
        <rFont val="Calibri"/>
        <family val="2"/>
        <scheme val="minor"/>
      </rPr>
      <t>Issuance Price:</t>
    </r>
    <r>
      <rPr>
        <sz val="11"/>
        <color theme="1"/>
        <rFont val="Calibri"/>
        <family val="2"/>
        <scheme val="minor"/>
      </rPr>
      <t xml:space="preserve"> We'll just assume the company's current share price going forward - otherwise we would have</t>
    </r>
  </si>
  <si>
    <r>
      <t xml:space="preserve">to forecast the company's </t>
    </r>
    <r>
      <rPr>
        <i/>
        <sz val="11"/>
        <color theme="1"/>
        <rFont val="Calibri"/>
        <family val="2"/>
        <scheme val="minor"/>
      </rPr>
      <t>future</t>
    </r>
    <r>
      <rPr>
        <sz val="11"/>
        <color theme="1"/>
        <rFont val="Calibri"/>
        <family val="2"/>
        <scheme val="minor"/>
      </rPr>
      <t xml:space="preserve"> value, which gets very tricky and is probably not worth the effort for the </t>
    </r>
  </si>
  <si>
    <t>small amount of shares issued here.</t>
  </si>
  <si>
    <r>
      <t>Guidance:</t>
    </r>
    <r>
      <rPr>
        <sz val="11"/>
        <color theme="1"/>
        <rFont val="Calibri"/>
        <family val="2"/>
        <scheme val="minor"/>
      </rPr>
      <t xml:space="preserve"> We know what the company's share count post-IPO was, which is the closest date to this case study</t>
    </r>
  </si>
  <si>
    <t>that we have… so we can back into that number and assume that "normal, non-IPO shares issued" were equal</t>
  </si>
  <si>
    <t>to post-IPO shares less IPO shares issued.</t>
  </si>
  <si>
    <t>Then… have to go back to the IS and CFS and verify that everything is linked properly, that dividends are flowing</t>
  </si>
  <si>
    <t>in, that share issuances show up, and that the share count actually changes.</t>
  </si>
  <si>
    <t>Part 4: Comparing Our Results to Those of Equity Research</t>
  </si>
  <si>
    <t>Payout ratios are about the same - 20% and 25% vs. our estimates of 10% and 30%, but the absolute numbers</t>
  </si>
  <si>
    <t>are much lower since 20% * 76 = 15, and 25% * 99 = 25, against our 5 and 18 in the Base Case.</t>
  </si>
  <si>
    <t>Upside Case is a little closer, with 6 and 22, but we're still a good amount lower than ER estimates, consistent</t>
  </si>
  <si>
    <t>with what we've found so far for other metrics and multiples.</t>
  </si>
  <si>
    <t>So as with the previous results for Net Income, Net Interest Income, etc., we'll have to go back and adjust these</t>
  </si>
  <si>
    <t>numbers a bit at the end.</t>
  </si>
  <si>
    <t>Dividends for a bank - completely dependent on regulatory capital and Net Income, and the bank's targeted CET 1</t>
  </si>
  <si>
    <t>ratio relative to its actual ratio and capital available.</t>
  </si>
  <si>
    <t>Stock issuances and repurchases will also impact its plans, as stock issuances will increase capital (at the expense</t>
  </si>
  <si>
    <t>of dilution to existing shareholders), and repurchases will reduce capital. So if the bank is planning for either or</t>
  </si>
  <si>
    <t>both of those, you must factor them in.</t>
  </si>
  <si>
    <t>Here, we assume a 13% CET 1 target and then compare the minimum capital required to meet that with the</t>
  </si>
  <si>
    <t xml:space="preserve">total amount the company has. And then assume a targeted payout ratio, see if the planned dividends are </t>
  </si>
  <si>
    <t>less than or equal to the available capital, and if so, issue them as planned; otherwise we reduce them.</t>
  </si>
  <si>
    <t>Also need to forecast the share count based on issuances and repurchases, and link everything properly.</t>
  </si>
  <si>
    <t>Comparison at the end - much lower than ER once again, so we'll address this at the end with our tweaks.</t>
  </si>
  <si>
    <r>
      <rPr>
        <b/>
        <sz val="11"/>
        <color theme="1"/>
        <rFont val="Calibri"/>
        <family val="2"/>
        <scheme val="minor"/>
      </rPr>
      <t>"Pre-Dividend and Stock Repurchase CET 1":</t>
    </r>
    <r>
      <rPr>
        <sz val="11"/>
        <color theme="1"/>
        <rFont val="Calibri"/>
        <family val="2"/>
        <scheme val="minor"/>
      </rPr>
      <t xml:space="preserve"> Exactly what's described above - this represents the available</t>
    </r>
  </si>
  <si>
    <r>
      <rPr>
        <b/>
        <sz val="11"/>
        <color theme="1"/>
        <rFont val="Calibri"/>
        <family val="2"/>
        <scheme val="minor"/>
      </rPr>
      <t>RWA</t>
    </r>
    <r>
      <rPr>
        <sz val="11"/>
        <color theme="1"/>
        <rFont val="Calibri"/>
        <family val="2"/>
        <scheme val="minor"/>
      </rPr>
      <t xml:space="preserve"> - Calculated it above in the IEA/IBL schedule.</t>
    </r>
  </si>
  <si>
    <r>
      <rPr>
        <b/>
        <sz val="11"/>
        <color theme="1"/>
        <rFont val="Calibri"/>
        <family val="2"/>
        <scheme val="minor"/>
      </rPr>
      <t>Targeted CET 1 Ratio</t>
    </r>
    <r>
      <rPr>
        <sz val="11"/>
        <color theme="1"/>
        <rFont val="Calibri"/>
        <family val="2"/>
        <scheme val="minor"/>
      </rPr>
      <t xml:space="preserve"> - Remember that </t>
    </r>
    <r>
      <rPr>
        <u/>
        <sz val="11"/>
        <color theme="1"/>
        <rFont val="Calibri"/>
        <family val="2"/>
        <scheme val="minor"/>
      </rPr>
      <t>as of the time of this case study</t>
    </r>
    <r>
      <rPr>
        <sz val="11"/>
        <color theme="1"/>
        <rFont val="Calibri"/>
        <family val="2"/>
        <scheme val="minor"/>
      </rPr>
      <t>, Basel III/CRD IV had not yet been fully</t>
    </r>
  </si>
  <si>
    <r>
      <rPr>
        <b/>
        <sz val="11"/>
        <color theme="1"/>
        <rFont val="Calibri"/>
        <family val="2"/>
        <scheme val="minor"/>
      </rPr>
      <t>Min CET 1:</t>
    </r>
    <r>
      <rPr>
        <sz val="11"/>
        <color theme="1"/>
        <rFont val="Calibri"/>
        <family val="2"/>
        <scheme val="minor"/>
      </rPr>
      <t xml:space="preserve"> Circular reference again because the dividends will affect the RWA… why? Because dividends impact</t>
    </r>
  </si>
  <si>
    <r>
      <rPr>
        <b/>
        <sz val="11"/>
        <color theme="1"/>
        <rFont val="Calibri"/>
        <family val="2"/>
        <scheme val="minor"/>
      </rPr>
      <t>Capital Available for Dividends:</t>
    </r>
    <r>
      <rPr>
        <sz val="11"/>
        <color theme="1"/>
        <rFont val="Calibri"/>
        <family val="2"/>
        <scheme val="minor"/>
      </rPr>
      <t xml:space="preserve"> Our available capital less required capital… MAX(0 check to ensure this isn't negative.</t>
    </r>
  </si>
  <si>
    <r>
      <rPr>
        <b/>
        <sz val="11"/>
        <color theme="1"/>
        <rFont val="Calibri"/>
        <family val="2"/>
        <scheme val="minor"/>
      </rPr>
      <t>Dividends:</t>
    </r>
    <r>
      <rPr>
        <sz val="11"/>
        <color theme="1"/>
        <rFont val="Calibri"/>
        <family val="2"/>
        <scheme val="minor"/>
      </rPr>
      <t xml:space="preserve"> We know that the "maiden dividend" is expected in FY16, with a 30% payout ratio targeted after that</t>
    </r>
  </si>
  <si>
    <r>
      <rPr>
        <b/>
        <sz val="11"/>
        <color theme="1"/>
        <rFont val="Calibri"/>
        <family val="2"/>
        <scheme val="minor"/>
      </rPr>
      <t>Issued Dividends:</t>
    </r>
    <r>
      <rPr>
        <sz val="11"/>
        <color theme="1"/>
        <rFont val="Calibri"/>
        <family val="2"/>
        <scheme val="minor"/>
      </rPr>
      <t xml:space="preserve"> MIN between the targeted dividends and the capital available (never really close here).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</si>
</sst>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0.00%;\(0.00%\)"/>
    <numFmt numFmtId="166" formatCode="0.0%;\(0.0%\)"/>
    <numFmt numFmtId="167" formatCode="_(&quot;$&quot;* #,##0.0_);_(&quot;$&quot;* \(#,##0.0\);_(&quot;$&quot;* &quot;-&quot;_);_(@_)"/>
    <numFmt numFmtId="168" formatCode="_(* #,##0.0_);_(* \(#,##0.0\);_(* &quot;-&quot;_);_(@_)"/>
    <numFmt numFmtId="169" formatCode="_-* #,##0.0_-;\-* #,##0.0_-;_-* &quot;-&quot;_-;_-@_-"/>
    <numFmt numFmtId="170" formatCode="&quot;$&quot;#,##0.0_);\(&quot;$&quot;#,##0.0\);&quot;OK!&quot;;&quot;ERROR&quot;"/>
    <numFmt numFmtId="171" formatCode="&quot;$&quot;#,##0.000_);\(&quot;$&quot;#,##0.000\);&quot;OK!&quot;;&quot;ERROR&quot;"/>
    <numFmt numFmtId="172" formatCode="yyyy"/>
    <numFmt numFmtId="173" formatCode="0.0%_);\(0.0%\);\-_%_);@_)"/>
    <numFmt numFmtId="174" formatCode="#,##0_);\(#,##0\);\-_);@_)"/>
    <numFmt numFmtId="175" formatCode="_(\£* #,##0.00_);_(\£* \(#,##0.00\);_(\£* &quot;-&quot;??_);_(@_)"/>
    <numFmt numFmtId="176" formatCode="_(\£* #,##0.0_);_(\£* \(#,##0.0\);_(\£* &quot;-&quot;??_);_(@_)"/>
    <numFmt numFmtId="177" formatCode="_-* #,##0.0_-;\-* #,##0.0_-;_-* &quot;-&quot;??_-;_-@_-"/>
    <numFmt numFmtId="178" formatCode="#,##0.0_);\(#,##0.0\);\-_);@_)"/>
    <numFmt numFmtId="179" formatCode="0.00%_);\(0.00%\);\-_%_);@_)"/>
    <numFmt numFmtId="180" formatCode="_(\£* #,##0.000_);_(\£* \(#,##0.000\);_(\£* &quot;-&quot;??_);_(@_)"/>
    <numFmt numFmtId="181" formatCode="0.0%"/>
    <numFmt numFmtId="182" formatCode="yyyy\-mm\-dd"/>
    <numFmt numFmtId="183" formatCode="&quot;Yes&quot;_);;&quot;No&quot;_)"/>
    <numFmt numFmtId="184" formatCode="&quot;FY&quot;yy"/>
    <numFmt numFmtId="185" formatCode="0.000%_);\(0.000%\);\-_%_);@_)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9">
    <xf numFmtId="0" fontId="0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Alignment="0"/>
  </cellStyleXfs>
  <cellXfs count="327">
    <xf numFmtId="0" fontId="0" fillId="0" borderId="0" xfId="0"/>
    <xf numFmtId="41" fontId="12" fillId="0" borderId="0" xfId="0" applyNumberFormat="1" applyFont="1" applyBorder="1"/>
    <xf numFmtId="41" fontId="14" fillId="0" borderId="0" xfId="0" applyNumberFormat="1" applyFont="1" applyBorder="1"/>
    <xf numFmtId="0" fontId="10" fillId="0" borderId="0" xfId="0" applyFont="1" applyBorder="1"/>
    <xf numFmtId="0" fontId="0" fillId="0" borderId="0" xfId="0" applyFont="1"/>
    <xf numFmtId="0" fontId="0" fillId="0" borderId="0" xfId="0" applyFont="1" applyBorder="1"/>
    <xf numFmtId="42" fontId="16" fillId="0" borderId="0" xfId="0" applyNumberFormat="1" applyFont="1" applyBorder="1"/>
    <xf numFmtId="0" fontId="0" fillId="0" borderId="3" xfId="0" applyFont="1" applyBorder="1" applyAlignment="1">
      <alignment horizontal="left"/>
    </xf>
    <xf numFmtId="168" fontId="16" fillId="0" borderId="0" xfId="0" applyNumberFormat="1" applyFont="1" applyBorder="1"/>
    <xf numFmtId="168" fontId="13" fillId="0" borderId="0" xfId="0" applyNumberFormat="1" applyFont="1" applyBorder="1"/>
    <xf numFmtId="167" fontId="0" fillId="0" borderId="0" xfId="0" applyNumberFormat="1" applyFont="1" applyBorder="1"/>
    <xf numFmtId="168" fontId="0" fillId="0" borderId="0" xfId="0" applyNumberFormat="1" applyFont="1" applyBorder="1"/>
    <xf numFmtId="168" fontId="15" fillId="0" borderId="3" xfId="0" applyNumberFormat="1" applyFont="1" applyFill="1" applyBorder="1"/>
    <xf numFmtId="168" fontId="10" fillId="0" borderId="3" xfId="0" applyNumberFormat="1" applyFont="1" applyBorder="1"/>
    <xf numFmtId="168" fontId="13" fillId="0" borderId="0" xfId="0" applyNumberFormat="1" applyFont="1" applyFill="1" applyBorder="1"/>
    <xf numFmtId="173" fontId="0" fillId="0" borderId="0" xfId="0" applyNumberFormat="1" applyFont="1" applyBorder="1" applyAlignment="1">
      <alignment horizontal="right"/>
    </xf>
    <xf numFmtId="173" fontId="10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19" fillId="0" borderId="0" xfId="0" applyNumberFormat="1" applyFont="1" applyFill="1" applyBorder="1" applyAlignment="1">
      <alignment horizontal="right"/>
    </xf>
    <xf numFmtId="173" fontId="16" fillId="0" borderId="0" xfId="0" applyNumberFormat="1" applyFont="1" applyBorder="1"/>
    <xf numFmtId="0" fontId="8" fillId="3" borderId="5" xfId="0" applyFont="1" applyFill="1" applyBorder="1" applyAlignment="1">
      <alignment horizontal="centerContinuous"/>
    </xf>
    <xf numFmtId="0" fontId="8" fillId="3" borderId="0" xfId="0" applyFont="1" applyFill="1" applyBorder="1"/>
    <xf numFmtId="0" fontId="8" fillId="3" borderId="6" xfId="0" applyFont="1" applyFill="1" applyBorder="1" applyAlignment="1">
      <alignment horizontal="centerContinuous"/>
    </xf>
    <xf numFmtId="168" fontId="18" fillId="0" borderId="0" xfId="0" applyNumberFormat="1" applyFont="1" applyFill="1" applyBorder="1"/>
    <xf numFmtId="168" fontId="20" fillId="0" borderId="0" xfId="0" applyNumberFormat="1" applyFont="1" applyFill="1" applyBorder="1"/>
    <xf numFmtId="0" fontId="21" fillId="0" borderId="0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1"/>
    </xf>
    <xf numFmtId="173" fontId="18" fillId="2" borderId="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72" fontId="8" fillId="0" borderId="0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 indent="1"/>
    </xf>
    <xf numFmtId="0" fontId="10" fillId="0" borderId="3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10" fillId="0" borderId="0" xfId="0" applyFont="1"/>
    <xf numFmtId="164" fontId="18" fillId="2" borderId="7" xfId="0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Fill="1"/>
    <xf numFmtId="176" fontId="0" fillId="0" borderId="0" xfId="0" applyNumberFormat="1" applyFont="1" applyBorder="1"/>
    <xf numFmtId="176" fontId="18" fillId="0" borderId="0" xfId="0" applyNumberFormat="1" applyFont="1" applyFill="1" applyBorder="1"/>
    <xf numFmtId="176" fontId="13" fillId="0" borderId="0" xfId="0" applyNumberFormat="1" applyFont="1" applyBorder="1"/>
    <xf numFmtId="176" fontId="16" fillId="0" borderId="0" xfId="0" applyNumberFormat="1" applyFont="1" applyBorder="1"/>
    <xf numFmtId="176" fontId="17" fillId="0" borderId="0" xfId="0" applyNumberFormat="1" applyFont="1" applyBorder="1"/>
    <xf numFmtId="176" fontId="16" fillId="0" borderId="0" xfId="0" applyNumberFormat="1" applyFont="1" applyFill="1" applyBorder="1"/>
    <xf numFmtId="173" fontId="18" fillId="2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10" fillId="0" borderId="3" xfId="0" applyFont="1" applyBorder="1"/>
    <xf numFmtId="168" fontId="19" fillId="0" borderId="0" xfId="0" applyNumberFormat="1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173" fontId="18" fillId="2" borderId="9" xfId="0" applyNumberFormat="1" applyFont="1" applyFill="1" applyBorder="1" applyAlignment="1">
      <alignment horizontal="right"/>
    </xf>
    <xf numFmtId="168" fontId="19" fillId="0" borderId="0" xfId="0" applyNumberFormat="1" applyFont="1" applyFill="1" applyBorder="1" applyAlignment="1"/>
    <xf numFmtId="168" fontId="18" fillId="0" borderId="0" xfId="0" applyNumberFormat="1" applyFont="1" applyBorder="1"/>
    <xf numFmtId="173" fontId="18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168" fontId="19" fillId="0" borderId="3" xfId="0" applyNumberFormat="1" applyFont="1" applyFill="1" applyBorder="1" applyAlignment="1"/>
    <xf numFmtId="168" fontId="18" fillId="0" borderId="0" xfId="0" applyNumberFormat="1" applyFont="1" applyFill="1" applyBorder="1" applyAlignment="1"/>
    <xf numFmtId="0" fontId="0" fillId="0" borderId="1" xfId="0" applyFont="1" applyFill="1" applyBorder="1" applyAlignment="1">
      <alignment horizontal="left" indent="1"/>
    </xf>
    <xf numFmtId="173" fontId="24" fillId="0" borderId="0" xfId="0" applyNumberFormat="1" applyFont="1" applyFill="1" applyBorder="1" applyAlignment="1">
      <alignment horizontal="right"/>
    </xf>
    <xf numFmtId="173" fontId="20" fillId="0" borderId="0" xfId="0" applyNumberFormat="1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79" fontId="18" fillId="2" borderId="4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indent="1"/>
    </xf>
    <xf numFmtId="173" fontId="16" fillId="0" borderId="0" xfId="0" applyNumberFormat="1" applyFont="1" applyFill="1" applyBorder="1"/>
    <xf numFmtId="0" fontId="0" fillId="0" borderId="1" xfId="0" applyBorder="1"/>
    <xf numFmtId="0" fontId="0" fillId="0" borderId="0" xfId="0" applyAlignment="1">
      <alignment horizontal="left" indent="1"/>
    </xf>
    <xf numFmtId="176" fontId="18" fillId="0" borderId="0" xfId="0" applyNumberFormat="1" applyFont="1" applyBorder="1"/>
    <xf numFmtId="0" fontId="10" fillId="0" borderId="3" xfId="0" applyFont="1" applyBorder="1"/>
    <xf numFmtId="168" fontId="0" fillId="0" borderId="0" xfId="0" applyNumberFormat="1"/>
    <xf numFmtId="0" fontId="10" fillId="0" borderId="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22" fillId="3" borderId="1" xfId="0" applyFont="1" applyFill="1" applyBorder="1" applyAlignment="1">
      <alignment horizontal="center"/>
    </xf>
    <xf numFmtId="172" fontId="8" fillId="0" borderId="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indent="1"/>
    </xf>
    <xf numFmtId="173" fontId="21" fillId="0" borderId="0" xfId="0" applyNumberFormat="1" applyFont="1" applyBorder="1" applyAlignment="1">
      <alignment horizontal="right"/>
    </xf>
    <xf numFmtId="184" fontId="8" fillId="4" borderId="1" xfId="0" applyNumberFormat="1" applyFont="1" applyFill="1" applyBorder="1" applyAlignment="1">
      <alignment horizontal="center"/>
    </xf>
    <xf numFmtId="184" fontId="8" fillId="4" borderId="10" xfId="0" applyNumberFormat="1" applyFont="1" applyFill="1" applyBorder="1" applyAlignment="1">
      <alignment horizontal="center"/>
    </xf>
    <xf numFmtId="174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73" fontId="0" fillId="0" borderId="1" xfId="0" applyNumberFormat="1" applyFont="1" applyBorder="1" applyAlignment="1">
      <alignment horizontal="right"/>
    </xf>
    <xf numFmtId="179" fontId="18" fillId="2" borderId="9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3" fontId="18" fillId="2" borderId="11" xfId="0" applyNumberFormat="1" applyFont="1" applyFill="1" applyBorder="1" applyAlignment="1">
      <alignment horizontal="right"/>
    </xf>
    <xf numFmtId="173" fontId="10" fillId="5" borderId="1" xfId="0" applyNumberFormat="1" applyFont="1" applyFill="1" applyBorder="1" applyAlignment="1">
      <alignment horizontal="right"/>
    </xf>
    <xf numFmtId="179" fontId="0" fillId="5" borderId="1" xfId="0" applyNumberFormat="1" applyFont="1" applyFill="1" applyBorder="1" applyAlignment="1">
      <alignment horizontal="right"/>
    </xf>
    <xf numFmtId="173" fontId="24" fillId="5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21" fillId="0" borderId="0" xfId="0" applyFont="1" applyBorder="1" applyAlignment="1"/>
    <xf numFmtId="0" fontId="8" fillId="3" borderId="0" xfId="0" applyFont="1" applyFill="1" applyBorder="1" applyAlignment="1"/>
    <xf numFmtId="0" fontId="22" fillId="3" borderId="0" xfId="0" applyFont="1" applyFill="1" applyBorder="1" applyAlignment="1"/>
    <xf numFmtId="0" fontId="8" fillId="3" borderId="1" xfId="0" applyFont="1" applyFill="1" applyBorder="1" applyAlignment="1"/>
    <xf numFmtId="0" fontId="10" fillId="5" borderId="1" xfId="0" applyFont="1" applyFill="1" applyBorder="1" applyAlignment="1"/>
    <xf numFmtId="0" fontId="0" fillId="5" borderId="1" xfId="0" applyFont="1" applyFill="1" applyBorder="1" applyAlignment="1"/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22" fillId="0" borderId="0" xfId="0" applyFont="1" applyFill="1" applyBorder="1" applyAlignment="1"/>
    <xf numFmtId="0" fontId="23" fillId="5" borderId="1" xfId="0" applyFont="1" applyFill="1" applyBorder="1" applyAlignment="1"/>
    <xf numFmtId="37" fontId="10" fillId="5" borderId="1" xfId="0" applyNumberFormat="1" applyFont="1" applyFill="1" applyBorder="1" applyAlignment="1"/>
    <xf numFmtId="176" fontId="18" fillId="0" borderId="0" xfId="0" applyNumberFormat="1" applyFont="1" applyFill="1" applyBorder="1" applyAlignment="1"/>
    <xf numFmtId="176" fontId="13" fillId="0" borderId="0" xfId="0" applyNumberFormat="1" applyFont="1" applyFill="1" applyBorder="1" applyAlignment="1"/>
    <xf numFmtId="176" fontId="13" fillId="0" borderId="0" xfId="0" applyNumberFormat="1" applyFont="1" applyBorder="1" applyAlignment="1"/>
    <xf numFmtId="168" fontId="13" fillId="0" borderId="0" xfId="0" applyNumberFormat="1" applyFont="1" applyBorder="1" applyAlignment="1"/>
    <xf numFmtId="0" fontId="10" fillId="0" borderId="3" xfId="0" applyFont="1" applyBorder="1" applyAlignment="1"/>
    <xf numFmtId="0" fontId="0" fillId="0" borderId="3" xfId="0" applyFont="1" applyBorder="1" applyAlignment="1"/>
    <xf numFmtId="37" fontId="21" fillId="0" borderId="0" xfId="0" applyNumberFormat="1" applyFont="1" applyBorder="1" applyAlignment="1"/>
    <xf numFmtId="37" fontId="0" fillId="0" borderId="0" xfId="0" applyNumberFormat="1" applyFont="1" applyBorder="1" applyAlignment="1"/>
    <xf numFmtId="176" fontId="20" fillId="0" borderId="0" xfId="0" applyNumberFormat="1" applyFont="1" applyFill="1" applyBorder="1" applyAlignment="1"/>
    <xf numFmtId="176" fontId="15" fillId="0" borderId="0" xfId="0" applyNumberFormat="1" applyFont="1" applyBorder="1" applyAlignment="1"/>
    <xf numFmtId="37" fontId="0" fillId="0" borderId="1" xfId="0" applyNumberFormat="1" applyFont="1" applyBorder="1" applyAlignment="1"/>
    <xf numFmtId="0" fontId="23" fillId="0" borderId="0" xfId="0" applyFont="1" applyBorder="1" applyAlignment="1"/>
    <xf numFmtId="37" fontId="10" fillId="0" borderId="0" xfId="0" applyNumberFormat="1" applyFont="1" applyBorder="1" applyAlignment="1"/>
    <xf numFmtId="168" fontId="13" fillId="0" borderId="0" xfId="0" applyNumberFormat="1" applyFont="1" applyFill="1" applyBorder="1" applyAlignment="1"/>
    <xf numFmtId="177" fontId="10" fillId="0" borderId="3" xfId="0" applyNumberFormat="1" applyFont="1" applyBorder="1" applyAlignment="1"/>
    <xf numFmtId="169" fontId="18" fillId="0" borderId="0" xfId="0" applyNumberFormat="1" applyFont="1" applyFill="1" applyBorder="1" applyAlignment="1"/>
    <xf numFmtId="169" fontId="13" fillId="0" borderId="0" xfId="0" applyNumberFormat="1" applyFont="1" applyBorder="1" applyAlignment="1"/>
    <xf numFmtId="169" fontId="19" fillId="0" borderId="0" xfId="0" applyNumberFormat="1" applyFont="1" applyFill="1" applyBorder="1" applyAlignment="1"/>
    <xf numFmtId="173" fontId="0" fillId="0" borderId="0" xfId="0" applyNumberFormat="1" applyFont="1" applyBorder="1" applyAlignment="1"/>
    <xf numFmtId="168" fontId="15" fillId="0" borderId="0" xfId="0" applyNumberFormat="1" applyFont="1" applyFill="1" applyBorder="1" applyAlignment="1"/>
    <xf numFmtId="168" fontId="24" fillId="0" borderId="0" xfId="0" applyNumberFormat="1" applyFont="1" applyFill="1" applyBorder="1" applyAlignment="1"/>
    <xf numFmtId="41" fontId="0" fillId="0" borderId="0" xfId="0" applyNumberFormat="1" applyFont="1" applyBorder="1" applyAlignment="1"/>
    <xf numFmtId="168" fontId="0" fillId="0" borderId="0" xfId="0" applyNumberFormat="1" applyFont="1" applyBorder="1" applyAlignment="1"/>
    <xf numFmtId="0" fontId="21" fillId="0" borderId="3" xfId="0" applyFont="1" applyBorder="1" applyAlignment="1"/>
    <xf numFmtId="176" fontId="10" fillId="0" borderId="0" xfId="0" applyNumberFormat="1" applyFont="1" applyBorder="1" applyAlignment="1"/>
    <xf numFmtId="10" fontId="0" fillId="0" borderId="0" xfId="0" applyNumberFormat="1" applyFont="1" applyBorder="1" applyAlignment="1"/>
    <xf numFmtId="168" fontId="18" fillId="2" borderId="4" xfId="0" applyNumberFormat="1" applyFont="1" applyFill="1" applyBorder="1" applyAlignment="1"/>
    <xf numFmtId="173" fontId="13" fillId="0" borderId="0" xfId="0" applyNumberFormat="1" applyFont="1" applyBorder="1" applyAlignment="1"/>
    <xf numFmtId="173" fontId="18" fillId="2" borderId="4" xfId="0" applyNumberFormat="1" applyFont="1" applyFill="1" applyBorder="1" applyAlignment="1"/>
    <xf numFmtId="178" fontId="0" fillId="0" borderId="0" xfId="0" applyNumberFormat="1" applyFont="1" applyBorder="1" applyAlignment="1"/>
    <xf numFmtId="173" fontId="13" fillId="0" borderId="0" xfId="0" applyNumberFormat="1" applyFont="1" applyFill="1" applyBorder="1" applyAlignment="1"/>
    <xf numFmtId="165" fontId="0" fillId="0" borderId="0" xfId="0" applyNumberFormat="1" applyFont="1" applyBorder="1" applyAlignment="1"/>
    <xf numFmtId="165" fontId="10" fillId="0" borderId="0" xfId="0" applyNumberFormat="1" applyFont="1" applyBorder="1" applyAlignment="1"/>
    <xf numFmtId="168" fontId="0" fillId="0" borderId="3" xfId="0" applyNumberFormat="1" applyFont="1" applyBorder="1" applyAlignment="1"/>
    <xf numFmtId="168" fontId="13" fillId="0" borderId="3" xfId="0" applyNumberFormat="1" applyFont="1" applyBorder="1" applyAlignment="1"/>
    <xf numFmtId="0" fontId="0" fillId="0" borderId="0" xfId="0" applyBorder="1" applyAlignment="1"/>
    <xf numFmtId="173" fontId="18" fillId="2" borderId="9" xfId="0" applyNumberFormat="1" applyFont="1" applyFill="1" applyBorder="1" applyAlignment="1"/>
    <xf numFmtId="168" fontId="13" fillId="0" borderId="1" xfId="0" applyNumberFormat="1" applyFont="1" applyBorder="1" applyAlignment="1"/>
    <xf numFmtId="168" fontId="15" fillId="0" borderId="3" xfId="0" applyNumberFormat="1" applyFont="1" applyBorder="1" applyAlignment="1"/>
    <xf numFmtId="168" fontId="18" fillId="0" borderId="0" xfId="0" applyNumberFormat="1" applyFont="1" applyBorder="1" applyAlignment="1"/>
    <xf numFmtId="173" fontId="19" fillId="0" borderId="0" xfId="0" applyNumberFormat="1" applyFont="1" applyFill="1" applyBorder="1" applyAlignment="1"/>
    <xf numFmtId="167" fontId="0" fillId="0" borderId="0" xfId="0" applyNumberFormat="1" applyFont="1" applyBorder="1" applyAlignment="1"/>
    <xf numFmtId="178" fontId="0" fillId="0" borderId="0" xfId="0" applyNumberFormat="1" applyFont="1" applyFill="1" applyBorder="1" applyAlignment="1"/>
    <xf numFmtId="168" fontId="20" fillId="0" borderId="0" xfId="0" applyNumberFormat="1" applyFont="1" applyFill="1" applyBorder="1" applyAlignment="1"/>
    <xf numFmtId="0" fontId="13" fillId="0" borderId="0" xfId="0" applyFont="1" applyBorder="1" applyAlignment="1"/>
    <xf numFmtId="171" fontId="0" fillId="0" borderId="0" xfId="0" applyNumberFormat="1" applyFont="1" applyBorder="1" applyAlignment="1"/>
    <xf numFmtId="168" fontId="0" fillId="0" borderId="0" xfId="0" applyNumberFormat="1" applyFont="1" applyFill="1" applyBorder="1" applyAlignment="1"/>
    <xf numFmtId="168" fontId="15" fillId="0" borderId="3" xfId="0" applyNumberFormat="1" applyFont="1" applyFill="1" applyBorder="1" applyAlignment="1"/>
    <xf numFmtId="41" fontId="12" fillId="0" borderId="0" xfId="0" applyNumberFormat="1" applyFont="1" applyFill="1" applyBorder="1" applyAlignment="1"/>
    <xf numFmtId="169" fontId="15" fillId="0" borderId="3" xfId="0" applyNumberFormat="1" applyFont="1" applyFill="1" applyBorder="1" applyAlignment="1"/>
    <xf numFmtId="168" fontId="10" fillId="0" borderId="3" xfId="0" applyNumberFormat="1" applyFont="1" applyBorder="1" applyAlignment="1"/>
    <xf numFmtId="0" fontId="21" fillId="5" borderId="1" xfId="0" applyFont="1" applyFill="1" applyBorder="1" applyAlignment="1"/>
    <xf numFmtId="37" fontId="0" fillId="5" borderId="1" xfId="0" applyNumberFormat="1" applyFont="1" applyFill="1" applyBorder="1" applyAlignment="1"/>
    <xf numFmtId="0" fontId="10" fillId="0" borderId="3" xfId="0" applyFont="1" applyFill="1" applyBorder="1" applyAlignment="1"/>
    <xf numFmtId="168" fontId="20" fillId="0" borderId="3" xfId="0" applyNumberFormat="1" applyFont="1" applyBorder="1" applyAlignment="1"/>
    <xf numFmtId="169" fontId="20" fillId="0" borderId="3" xfId="0" applyNumberFormat="1" applyFont="1" applyFill="1" applyBorder="1" applyAlignment="1"/>
    <xf numFmtId="0" fontId="18" fillId="5" borderId="1" xfId="0" applyFont="1" applyFill="1" applyBorder="1" applyAlignment="1"/>
    <xf numFmtId="168" fontId="10" fillId="0" borderId="0" xfId="0" applyNumberFormat="1" applyFont="1" applyBorder="1" applyAlignment="1"/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168" fontId="15" fillId="0" borderId="0" xfId="0" applyNumberFormat="1" applyFont="1" applyBorder="1" applyAlignment="1"/>
    <xf numFmtId="168" fontId="18" fillId="0" borderId="1" xfId="0" applyNumberFormat="1" applyFont="1" applyFill="1" applyBorder="1" applyAlignment="1"/>
    <xf numFmtId="168" fontId="13" fillId="0" borderId="1" xfId="0" applyNumberFormat="1" applyFont="1" applyFill="1" applyBorder="1" applyAlignment="1"/>
    <xf numFmtId="178" fontId="0" fillId="0" borderId="1" xfId="0" applyNumberFormat="1" applyFont="1" applyFill="1" applyBorder="1" applyAlignment="1"/>
    <xf numFmtId="168" fontId="19" fillId="0" borderId="1" xfId="0" applyNumberFormat="1" applyFont="1" applyFill="1" applyBorder="1" applyAlignment="1"/>
    <xf numFmtId="43" fontId="0" fillId="0" borderId="0" xfId="0" applyNumberFormat="1" applyFont="1" applyBorder="1" applyAlignment="1"/>
    <xf numFmtId="173" fontId="13" fillId="2" borderId="4" xfId="0" applyNumberFormat="1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3" fontId="23" fillId="0" borderId="0" xfId="0" applyNumberFormat="1" applyFont="1" applyBorder="1" applyAlignment="1">
      <alignment horizontal="right"/>
    </xf>
    <xf numFmtId="0" fontId="10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centerContinuous"/>
    </xf>
    <xf numFmtId="170" fontId="0" fillId="0" borderId="0" xfId="0" applyNumberFormat="1" applyFont="1" applyBorder="1"/>
    <xf numFmtId="168" fontId="13" fillId="2" borderId="4" xfId="0" applyNumberFormat="1" applyFont="1" applyFill="1" applyBorder="1" applyAlignment="1"/>
    <xf numFmtId="173" fontId="13" fillId="2" borderId="4" xfId="0" applyNumberFormat="1" applyFont="1" applyFill="1" applyBorder="1" applyAlignment="1"/>
    <xf numFmtId="168" fontId="15" fillId="0" borderId="1" xfId="0" applyNumberFormat="1" applyFont="1" applyBorder="1" applyAlignment="1"/>
    <xf numFmtId="168" fontId="20" fillId="0" borderId="1" xfId="0" applyNumberFormat="1" applyFont="1" applyFill="1" applyBorder="1" applyAlignment="1"/>
    <xf numFmtId="168" fontId="24" fillId="0" borderId="3" xfId="0" applyNumberFormat="1" applyFont="1" applyFill="1" applyBorder="1" applyAlignment="1"/>
    <xf numFmtId="177" fontId="10" fillId="0" borderId="0" xfId="0" applyNumberFormat="1" applyFont="1" applyBorder="1" applyAlignment="1"/>
    <xf numFmtId="0" fontId="0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left" indent="1"/>
    </xf>
    <xf numFmtId="173" fontId="19" fillId="0" borderId="1" xfId="0" applyNumberFormat="1" applyFont="1" applyFill="1" applyBorder="1" applyAlignment="1">
      <alignment horizontal="right"/>
    </xf>
    <xf numFmtId="173" fontId="24" fillId="0" borderId="3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73" fontId="13" fillId="2" borderId="9" xfId="0" applyNumberFormat="1" applyFont="1" applyFill="1" applyBorder="1" applyAlignment="1">
      <alignment horizontal="right"/>
    </xf>
    <xf numFmtId="173" fontId="13" fillId="2" borderId="8" xfId="0" applyNumberFormat="1" applyFont="1" applyFill="1" applyBorder="1" applyAlignment="1">
      <alignment horizontal="right"/>
    </xf>
    <xf numFmtId="168" fontId="18" fillId="0" borderId="1" xfId="0" applyNumberFormat="1" applyFont="1" applyBorder="1" applyAlignment="1"/>
    <xf numFmtId="168" fontId="20" fillId="0" borderId="0" xfId="0" applyNumberFormat="1" applyFont="1" applyBorder="1" applyAlignment="1"/>
    <xf numFmtId="173" fontId="24" fillId="0" borderId="1" xfId="0" applyNumberFormat="1" applyFont="1" applyFill="1" applyBorder="1" applyAlignment="1">
      <alignment horizontal="right"/>
    </xf>
    <xf numFmtId="168" fontId="20" fillId="0" borderId="1" xfId="0" applyNumberFormat="1" applyFont="1" applyBorder="1" applyAlignment="1"/>
    <xf numFmtId="0" fontId="10" fillId="5" borderId="2" xfId="0" applyFont="1" applyFill="1" applyBorder="1" applyAlignment="1"/>
    <xf numFmtId="0" fontId="21" fillId="5" borderId="2" xfId="0" applyFont="1" applyFill="1" applyBorder="1" applyAlignment="1">
      <alignment horizontal="center"/>
    </xf>
    <xf numFmtId="172" fontId="8" fillId="5" borderId="2" xfId="0" applyNumberFormat="1" applyFont="1" applyFill="1" applyBorder="1" applyAlignment="1">
      <alignment horizontal="center"/>
    </xf>
    <xf numFmtId="0" fontId="21" fillId="5" borderId="2" xfId="0" applyFont="1" applyFill="1" applyBorder="1" applyAlignment="1"/>
    <xf numFmtId="0" fontId="0" fillId="5" borderId="2" xfId="0" applyFont="1" applyFill="1" applyBorder="1" applyAlignment="1"/>
    <xf numFmtId="168" fontId="18" fillId="0" borderId="3" xfId="0" applyNumberFormat="1" applyFont="1" applyBorder="1" applyAlignment="1"/>
    <xf numFmtId="168" fontId="15" fillId="0" borderId="1" xfId="0" applyNumberFormat="1" applyFont="1" applyFill="1" applyBorder="1" applyAlignment="1"/>
    <xf numFmtId="173" fontId="18" fillId="2" borderId="7" xfId="0" applyNumberFormat="1" applyFont="1" applyFill="1" applyBorder="1" applyAlignment="1"/>
    <xf numFmtId="173" fontId="13" fillId="2" borderId="7" xfId="0" applyNumberFormat="1" applyFont="1" applyFill="1" applyBorder="1" applyAlignment="1"/>
    <xf numFmtId="174" fontId="18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168" fontId="10" fillId="0" borderId="3" xfId="0" applyNumberFormat="1" applyFont="1" applyFill="1" applyBorder="1" applyAlignment="1"/>
    <xf numFmtId="173" fontId="2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176" fontId="10" fillId="0" borderId="0" xfId="0" applyNumberFormat="1" applyFont="1" applyFill="1" applyBorder="1" applyAlignment="1"/>
    <xf numFmtId="0" fontId="21" fillId="0" borderId="0" xfId="0" applyFont="1" applyFill="1" applyBorder="1" applyAlignment="1"/>
    <xf numFmtId="168" fontId="10" fillId="0" borderId="0" xfId="0" applyNumberFormat="1" applyFont="1" applyFill="1" applyBorder="1" applyAlignment="1"/>
    <xf numFmtId="42" fontId="0" fillId="0" borderId="0" xfId="0" applyNumberFormat="1" applyFont="1" applyFill="1" applyBorder="1" applyAlignment="1"/>
    <xf numFmtId="168" fontId="15" fillId="0" borderId="0" xfId="0" applyNumberFormat="1" applyFont="1" applyFill="1" applyBorder="1"/>
    <xf numFmtId="168" fontId="16" fillId="0" borderId="0" xfId="0" applyNumberFormat="1" applyFont="1" applyFill="1" applyBorder="1"/>
    <xf numFmtId="173" fontId="24" fillId="0" borderId="3" xfId="0" applyNumberFormat="1" applyFont="1" applyFill="1" applyBorder="1" applyAlignment="1"/>
    <xf numFmtId="164" fontId="0" fillId="0" borderId="0" xfId="0" applyNumberFormat="1" applyFont="1" applyBorder="1" applyAlignment="1"/>
    <xf numFmtId="164" fontId="10" fillId="0" borderId="0" xfId="0" applyNumberFormat="1" applyFont="1" applyBorder="1" applyAlignment="1"/>
    <xf numFmtId="175" fontId="13" fillId="0" borderId="0" xfId="0" applyNumberFormat="1" applyFont="1" applyFill="1" applyBorder="1" applyAlignment="1"/>
    <xf numFmtId="168" fontId="13" fillId="2" borderId="9" xfId="0" applyNumberFormat="1" applyFont="1" applyFill="1" applyBorder="1" applyAlignment="1"/>
    <xf numFmtId="168" fontId="18" fillId="2" borderId="9" xfId="0" applyNumberFormat="1" applyFont="1" applyFill="1" applyBorder="1" applyAlignment="1"/>
    <xf numFmtId="164" fontId="19" fillId="0" borderId="0" xfId="0" applyNumberFormat="1" applyFont="1" applyFill="1" applyBorder="1" applyAlignment="1"/>
    <xf numFmtId="164" fontId="18" fillId="0" borderId="0" xfId="0" applyNumberFormat="1" applyFont="1" applyFill="1" applyBorder="1" applyAlignment="1"/>
    <xf numFmtId="164" fontId="20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175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Border="1"/>
    <xf numFmtId="0" fontId="0" fillId="0" borderId="1" xfId="0" applyBorder="1" applyAlignment="1">
      <alignment horizontal="left" indent="1"/>
    </xf>
    <xf numFmtId="41" fontId="18" fillId="0" borderId="1" xfId="0" applyNumberFormat="1" applyFont="1" applyBorder="1"/>
    <xf numFmtId="168" fontId="18" fillId="2" borderId="8" xfId="0" applyNumberFormat="1" applyFont="1" applyFill="1" applyBorder="1" applyAlignment="1"/>
    <xf numFmtId="168" fontId="13" fillId="2" borderId="8" xfId="0" applyNumberFormat="1" applyFont="1" applyFill="1" applyBorder="1" applyAlignment="1"/>
    <xf numFmtId="0" fontId="0" fillId="0" borderId="0" xfId="0" applyFont="1" applyAlignment="1">
      <alignment horizontal="left" indent="1"/>
    </xf>
    <xf numFmtId="41" fontId="18" fillId="0" borderId="0" xfId="0" applyNumberFormat="1" applyFont="1" applyBorder="1"/>
    <xf numFmtId="168" fontId="18" fillId="0" borderId="1" xfId="0" applyNumberFormat="1" applyFont="1" applyFill="1" applyBorder="1"/>
    <xf numFmtId="168" fontId="16" fillId="0" borderId="0" xfId="0" applyNumberFormat="1" applyFont="1" applyFill="1" applyBorder="1" applyAlignment="1"/>
    <xf numFmtId="168" fontId="16" fillId="0" borderId="1" xfId="0" applyNumberFormat="1" applyFont="1" applyBorder="1" applyAlignment="1"/>
    <xf numFmtId="0" fontId="21" fillId="0" borderId="0" xfId="0" applyFont="1" applyBorder="1" applyAlignment="1">
      <alignment horizontal="left" indent="1"/>
    </xf>
    <xf numFmtId="173" fontId="25" fillId="0" borderId="0" xfId="0" applyNumberFormat="1" applyFont="1" applyBorder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68" fontId="16" fillId="0" borderId="0" xfId="0" applyNumberFormat="1" applyFont="1" applyBorder="1" applyAlignment="1"/>
    <xf numFmtId="41" fontId="20" fillId="0" borderId="0" xfId="0" applyNumberFormat="1" applyFont="1" applyBorder="1"/>
    <xf numFmtId="168" fontId="17" fillId="0" borderId="1" xfId="0" applyNumberFormat="1" applyFont="1" applyBorder="1" applyAlignment="1"/>
    <xf numFmtId="168" fontId="17" fillId="0" borderId="0" xfId="0" applyNumberFormat="1" applyFont="1" applyBorder="1" applyAlignment="1"/>
    <xf numFmtId="173" fontId="10" fillId="0" borderId="3" xfId="0" applyNumberFormat="1" applyFont="1" applyBorder="1" applyAlignment="1">
      <alignment horizontal="right"/>
    </xf>
    <xf numFmtId="173" fontId="10" fillId="0" borderId="1" xfId="0" applyNumberFormat="1" applyFont="1" applyBorder="1" applyAlignment="1">
      <alignment horizontal="right"/>
    </xf>
    <xf numFmtId="173" fontId="18" fillId="2" borderId="4" xfId="0" applyNumberFormat="1" applyFont="1" applyFill="1" applyBorder="1" applyAlignment="1">
      <alignment horizontal="center"/>
    </xf>
    <xf numFmtId="168" fontId="20" fillId="0" borderId="1" xfId="0" applyNumberFormat="1" applyFont="1" applyFill="1" applyBorder="1"/>
    <xf numFmtId="176" fontId="20" fillId="0" borderId="0" xfId="0" applyNumberFormat="1" applyFont="1" applyBorder="1"/>
    <xf numFmtId="168" fontId="13" fillId="0" borderId="1" xfId="0" applyNumberFormat="1" applyFont="1" applyFill="1" applyBorder="1"/>
    <xf numFmtId="173" fontId="18" fillId="2" borderId="7" xfId="0" applyNumberFormat="1" applyFont="1" applyFill="1" applyBorder="1" applyAlignment="1">
      <alignment horizontal="center"/>
    </xf>
    <xf numFmtId="0" fontId="10" fillId="5" borderId="1" xfId="0" applyFont="1" applyFill="1" applyBorder="1"/>
    <xf numFmtId="0" fontId="21" fillId="5" borderId="1" xfId="0" applyFont="1" applyFill="1" applyBorder="1"/>
    <xf numFmtId="173" fontId="15" fillId="0" borderId="0" xfId="0" applyNumberFormat="1" applyFont="1" applyBorder="1" applyAlignment="1">
      <alignment horizontal="right"/>
    </xf>
    <xf numFmtId="41" fontId="20" fillId="0" borderId="1" xfId="0" applyNumberFormat="1" applyFont="1" applyBorder="1"/>
    <xf numFmtId="166" fontId="23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 applyAlignment="1"/>
    <xf numFmtId="168" fontId="17" fillId="0" borderId="0" xfId="0" applyNumberFormat="1" applyFont="1" applyFill="1" applyBorder="1"/>
    <xf numFmtId="173" fontId="26" fillId="0" borderId="0" xfId="0" applyNumberFormat="1" applyFont="1" applyBorder="1" applyAlignment="1">
      <alignment horizontal="right"/>
    </xf>
    <xf numFmtId="185" fontId="20" fillId="0" borderId="0" xfId="0" applyNumberFormat="1" applyFont="1" applyBorder="1" applyAlignment="1">
      <alignment horizontal="right"/>
    </xf>
    <xf numFmtId="171" fontId="10" fillId="0" borderId="0" xfId="0" applyNumberFormat="1" applyFont="1" applyBorder="1" applyAlignment="1"/>
    <xf numFmtId="176" fontId="17" fillId="0" borderId="0" xfId="0" applyNumberFormat="1" applyFont="1" applyFill="1" applyBorder="1"/>
    <xf numFmtId="168" fontId="17" fillId="0" borderId="0" xfId="0" applyNumberFormat="1" applyFont="1" applyBorder="1"/>
    <xf numFmtId="168" fontId="15" fillId="0" borderId="0" xfId="0" applyNumberFormat="1" applyFont="1" applyBorder="1"/>
    <xf numFmtId="168" fontId="13" fillId="0" borderId="1" xfId="0" applyNumberFormat="1" applyFont="1" applyBorder="1"/>
    <xf numFmtId="168" fontId="15" fillId="0" borderId="1" xfId="0" applyNumberFormat="1" applyFont="1" applyBorder="1"/>
    <xf numFmtId="175" fontId="16" fillId="0" borderId="0" xfId="0" applyNumberFormat="1" applyFont="1" applyFill="1" applyBorder="1" applyAlignment="1">
      <alignment horizontal="right"/>
    </xf>
    <xf numFmtId="175" fontId="17" fillId="0" borderId="0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 horizontal="right"/>
    </xf>
    <xf numFmtId="173" fontId="17" fillId="0" borderId="0" xfId="0" applyNumberFormat="1" applyFont="1" applyFill="1" applyBorder="1" applyAlignment="1">
      <alignment horizontal="right"/>
    </xf>
    <xf numFmtId="173" fontId="16" fillId="0" borderId="0" xfId="0" applyNumberFormat="1" applyFont="1" applyBorder="1" applyAlignment="1">
      <alignment horizontal="right"/>
    </xf>
    <xf numFmtId="173" fontId="17" fillId="0" borderId="0" xfId="0" applyNumberFormat="1" applyFont="1" applyBorder="1" applyAlignment="1">
      <alignment horizontal="right"/>
    </xf>
    <xf numFmtId="179" fontId="16" fillId="0" borderId="0" xfId="0" applyNumberFormat="1" applyFont="1" applyFill="1" applyBorder="1" applyAlignment="1">
      <alignment horizontal="right"/>
    </xf>
    <xf numFmtId="179" fontId="17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right"/>
    </xf>
    <xf numFmtId="173" fontId="17" fillId="0" borderId="0" xfId="0" applyNumberFormat="1" applyFont="1" applyBorder="1"/>
    <xf numFmtId="183" fontId="18" fillId="2" borderId="4" xfId="0" applyNumberFormat="1" applyFont="1" applyFill="1" applyBorder="1" applyAlignment="1">
      <alignment horizontal="center"/>
    </xf>
    <xf numFmtId="182" fontId="18" fillId="2" borderId="4" xfId="0" applyNumberFormat="1" applyFont="1" applyFill="1" applyBorder="1" applyAlignment="1">
      <alignment horizontal="center"/>
    </xf>
    <xf numFmtId="175" fontId="15" fillId="0" borderId="0" xfId="0" applyNumberFormat="1" applyFont="1" applyFill="1" applyBorder="1" applyAlignment="1"/>
    <xf numFmtId="168" fontId="15" fillId="0" borderId="3" xfId="0" applyNumberFormat="1" applyFont="1" applyBorder="1"/>
    <xf numFmtId="176" fontId="10" fillId="0" borderId="0" xfId="0" applyNumberFormat="1" applyFont="1" applyBorder="1"/>
    <xf numFmtId="168" fontId="10" fillId="0" borderId="0" xfId="0" applyNumberFormat="1" applyFont="1"/>
    <xf numFmtId="168" fontId="0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168" fontId="10" fillId="0" borderId="0" xfId="0" applyNumberFormat="1" applyFont="1" applyBorder="1"/>
    <xf numFmtId="164" fontId="10" fillId="0" borderId="0" xfId="0" applyNumberFormat="1" applyFont="1"/>
    <xf numFmtId="168" fontId="0" fillId="0" borderId="1" xfId="0" applyNumberFormat="1" applyFont="1" applyBorder="1"/>
    <xf numFmtId="176" fontId="17" fillId="0" borderId="0" xfId="0" applyNumberFormat="1" applyFont="1" applyBorder="1" applyAlignment="1"/>
    <xf numFmtId="0" fontId="18" fillId="2" borderId="4" xfId="0" applyFont="1" applyFill="1" applyBorder="1" applyAlignment="1">
      <alignment horizontal="centerContinuous"/>
    </xf>
    <xf numFmtId="180" fontId="18" fillId="2" borderId="4" xfId="0" applyNumberFormat="1" applyFont="1" applyFill="1" applyBorder="1" applyAlignment="1"/>
    <xf numFmtId="176" fontId="16" fillId="0" borderId="0" xfId="0" applyNumberFormat="1" applyFont="1" applyBorder="1" applyAlignment="1"/>
    <xf numFmtId="174" fontId="0" fillId="0" borderId="0" xfId="0" applyNumberFormat="1" applyFont="1" applyBorder="1" applyAlignment="1"/>
    <xf numFmtId="181" fontId="0" fillId="0" borderId="0" xfId="0" applyNumberFormat="1"/>
    <xf numFmtId="170" fontId="10" fillId="0" borderId="0" xfId="0" applyNumberFormat="1" applyFont="1" applyBorder="1"/>
    <xf numFmtId="173" fontId="15" fillId="0" borderId="0" xfId="0" applyNumberFormat="1" applyFont="1" applyBorder="1" applyAlignment="1"/>
    <xf numFmtId="173" fontId="15" fillId="0" borderId="0" xfId="0" applyNumberFormat="1" applyFont="1" applyFill="1" applyBorder="1" applyAlignment="1"/>
    <xf numFmtId="174" fontId="20" fillId="0" borderId="0" xfId="0" applyNumberFormat="1" applyFont="1" applyFill="1" applyBorder="1" applyAlignment="1">
      <alignment horizontal="center"/>
    </xf>
    <xf numFmtId="174" fontId="10" fillId="0" borderId="0" xfId="0" applyNumberFormat="1" applyFont="1" applyBorder="1" applyAlignment="1"/>
    <xf numFmtId="178" fontId="10" fillId="0" borderId="0" xfId="0" applyNumberFormat="1" applyFont="1" applyBorder="1" applyAlignment="1"/>
    <xf numFmtId="9" fontId="0" fillId="0" borderId="0" xfId="0" applyNumberFormat="1"/>
    <xf numFmtId="0" fontId="21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10" fillId="0" borderId="0" xfId="0" applyFont="1" applyFill="1" applyBorder="1"/>
    <xf numFmtId="0" fontId="10" fillId="5" borderId="1" xfId="0" applyFont="1" applyFill="1" applyBorder="1" applyAlignment="1"/>
    <xf numFmtId="0" fontId="0" fillId="0" borderId="0" xfId="0" applyFont="1" applyFill="1" applyBorder="1" applyAlignment="1"/>
    <xf numFmtId="43" fontId="0" fillId="0" borderId="0" xfId="0" applyNumberFormat="1" applyFont="1" applyBorder="1"/>
    <xf numFmtId="173" fontId="18" fillId="2" borderId="8" xfId="0" applyNumberFormat="1" applyFont="1" applyFill="1" applyBorder="1" applyAlignment="1"/>
    <xf numFmtId="173" fontId="13" fillId="2" borderId="8" xfId="0" applyNumberFormat="1" applyFont="1" applyFill="1" applyBorder="1" applyAlignment="1"/>
    <xf numFmtId="174" fontId="18" fillId="2" borderId="4" xfId="0" applyNumberFormat="1" applyFont="1" applyFill="1" applyBorder="1" applyAlignment="1"/>
    <xf numFmtId="0" fontId="27" fillId="0" borderId="0" xfId="0" applyFont="1" applyFill="1" applyBorder="1" applyAlignment="1"/>
  </cellXfs>
  <cellStyles count="9">
    <cellStyle name="Normal" xfId="0" builtinId="0"/>
    <cellStyle name="Normal 2" xfId="1"/>
    <cellStyle name="Normal 3" xfId="2"/>
    <cellStyle name="Normal 3 2" xfId="3"/>
    <cellStyle name="Normal 3 3" xfId="4"/>
    <cellStyle name="Normal 4" xfId="5"/>
    <cellStyle name="Normal 4 2" xfId="6"/>
    <cellStyle name="Normal 5" xfId="7"/>
    <cellStyle name="TextNormal" xfId="8"/>
  </cellStyles>
  <dxfs count="3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0000FF"/>
      <color rgb="FFB2B2B2"/>
      <color rgb="FF1F497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B2:AB376"/>
  <sheetViews>
    <sheetView showGridLines="0" tabSelected="1" topLeftCell="H189" zoomScaleNormal="100" workbookViewId="0">
      <selection activeCell="P191" sqref="P191"/>
    </sheetView>
  </sheetViews>
  <sheetFormatPr defaultColWidth="8.77734375" defaultRowHeight="14.4" outlineLevelRow="1" outlineLevelCol="1" x14ac:dyDescent="0.3"/>
  <cols>
    <col min="1" max="2" width="2.77734375" style="4" customWidth="1"/>
    <col min="3" max="3" width="40.6640625" style="101" customWidth="1"/>
    <col min="4" max="4" width="11.5546875" style="102" customWidth="1"/>
    <col min="5" max="9" width="11.5546875" style="101" customWidth="1" outlineLevel="1"/>
    <col min="10" max="14" width="11.5546875" style="101" customWidth="1"/>
    <col min="15" max="15" width="2.77734375" style="4" customWidth="1"/>
    <col min="16" max="16" width="2.5546875" style="4" customWidth="1"/>
    <col min="17" max="16384" width="8.77734375" style="4"/>
  </cols>
  <sheetData>
    <row r="2" spans="2:14" x14ac:dyDescent="0.3">
      <c r="B2" s="39" t="str">
        <f>Company_Name&amp;" - Operating Model - "&amp;Scenario&amp;" Case"</f>
        <v>Shawbrook Group PLC - Operating Model - Base Case</v>
      </c>
      <c r="D2" s="101"/>
    </row>
    <row r="3" spans="2:14" x14ac:dyDescent="0.3">
      <c r="B3" s="4" t="s">
        <v>60</v>
      </c>
      <c r="D3" s="101"/>
    </row>
    <row r="4" spans="2:14" x14ac:dyDescent="0.3">
      <c r="B4" s="5"/>
      <c r="D4" s="101"/>
    </row>
    <row r="5" spans="2:14" x14ac:dyDescent="0.3">
      <c r="B5" s="84" t="s">
        <v>367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 outlineLevel="1" x14ac:dyDescent="0.3"/>
    <row r="7" spans="2:14" outlineLevel="1" x14ac:dyDescent="0.3">
      <c r="C7" s="101" t="s">
        <v>0</v>
      </c>
      <c r="D7" s="304" t="s">
        <v>381</v>
      </c>
      <c r="E7" s="304"/>
      <c r="G7" s="106" t="s">
        <v>61</v>
      </c>
      <c r="H7" s="107"/>
      <c r="I7" s="107"/>
      <c r="J7" s="107"/>
    </row>
    <row r="8" spans="2:14" outlineLevel="1" x14ac:dyDescent="0.3">
      <c r="C8" s="101" t="s">
        <v>1</v>
      </c>
      <c r="D8" s="92" t="s">
        <v>56</v>
      </c>
      <c r="G8" s="26" t="s">
        <v>394</v>
      </c>
      <c r="J8" s="40">
        <v>250</v>
      </c>
    </row>
    <row r="9" spans="2:14" outlineLevel="1" x14ac:dyDescent="0.3">
      <c r="D9" s="101"/>
      <c r="G9" s="26" t="s">
        <v>7</v>
      </c>
      <c r="J9" s="305">
        <v>3.274</v>
      </c>
    </row>
    <row r="10" spans="2:14" outlineLevel="1" x14ac:dyDescent="0.3">
      <c r="C10" s="101" t="s">
        <v>2</v>
      </c>
      <c r="D10" s="292">
        <v>42004</v>
      </c>
    </row>
    <row r="11" spans="2:14" outlineLevel="1" x14ac:dyDescent="0.3">
      <c r="C11" s="108" t="s">
        <v>377</v>
      </c>
      <c r="D11" s="292">
        <v>42185</v>
      </c>
      <c r="G11" s="101" t="s">
        <v>393</v>
      </c>
    </row>
    <row r="12" spans="2:14" outlineLevel="1" x14ac:dyDescent="0.3">
      <c r="C12" s="108" t="s">
        <v>3</v>
      </c>
      <c r="D12" s="292">
        <v>42265</v>
      </c>
      <c r="G12" s="101" t="s">
        <v>391</v>
      </c>
    </row>
    <row r="13" spans="2:14" outlineLevel="1" x14ac:dyDescent="0.3">
      <c r="C13" s="109"/>
      <c r="D13" s="101"/>
      <c r="G13" s="108" t="s">
        <v>392</v>
      </c>
    </row>
    <row r="14" spans="2:14" outlineLevel="1" x14ac:dyDescent="0.3">
      <c r="C14" s="108" t="s">
        <v>378</v>
      </c>
      <c r="D14" s="261">
        <v>0.13</v>
      </c>
    </row>
    <row r="15" spans="2:14" outlineLevel="1" x14ac:dyDescent="0.3">
      <c r="C15" s="108" t="s">
        <v>380</v>
      </c>
      <c r="D15" s="261">
        <v>0.2</v>
      </c>
    </row>
    <row r="16" spans="2:14" outlineLevel="1" x14ac:dyDescent="0.3">
      <c r="C16" s="109"/>
      <c r="D16" s="101"/>
    </row>
    <row r="17" spans="2:28" outlineLevel="1" x14ac:dyDescent="0.3">
      <c r="C17" s="108" t="s">
        <v>6</v>
      </c>
      <c r="D17" s="91">
        <v>1000</v>
      </c>
      <c r="I17" s="110"/>
    </row>
    <row r="18" spans="2:28" outlineLevel="1" x14ac:dyDescent="0.3">
      <c r="C18" s="110"/>
      <c r="D18" s="101"/>
      <c r="E18" s="111"/>
      <c r="I18" s="110"/>
    </row>
    <row r="19" spans="2:28" outlineLevel="1" x14ac:dyDescent="0.3">
      <c r="C19" s="108" t="s">
        <v>67</v>
      </c>
      <c r="D19" s="91" t="s">
        <v>69</v>
      </c>
      <c r="I19" s="110"/>
    </row>
    <row r="20" spans="2:28" outlineLevel="1" x14ac:dyDescent="0.3">
      <c r="C20" s="108" t="s">
        <v>382</v>
      </c>
      <c r="D20" s="291">
        <v>1</v>
      </c>
      <c r="I20" s="110"/>
    </row>
    <row r="21" spans="2:28" x14ac:dyDescent="0.3">
      <c r="C21" s="110"/>
      <c r="D21" s="101"/>
      <c r="E21" s="111"/>
    </row>
    <row r="22" spans="2:28" x14ac:dyDescent="0.3">
      <c r="B22" s="103" t="s">
        <v>124</v>
      </c>
      <c r="C22" s="103"/>
      <c r="D22" s="104"/>
      <c r="E22" s="20" t="str">
        <f>+Loans!$E$65</f>
        <v>Historical</v>
      </c>
      <c r="F22" s="20"/>
      <c r="G22" s="20"/>
      <c r="H22" s="20"/>
      <c r="I22" s="20"/>
      <c r="J22" s="22" t="str">
        <f>+Loans!$J$65</f>
        <v>Projected</v>
      </c>
      <c r="K22" s="20"/>
      <c r="L22" s="20"/>
      <c r="M22" s="20"/>
      <c r="N22" s="20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</row>
    <row r="23" spans="2:28" x14ac:dyDescent="0.3">
      <c r="B23" s="83" t="s">
        <v>125</v>
      </c>
      <c r="C23" s="83"/>
      <c r="D23" s="85" t="str">
        <f>+Loans!$D$6</f>
        <v>Units:</v>
      </c>
      <c r="E23" s="89">
        <f>Loans!$E$6</f>
        <v>40543</v>
      </c>
      <c r="F23" s="89">
        <f>Loans!$F$6</f>
        <v>40908</v>
      </c>
      <c r="G23" s="89">
        <f>Loans!$G$6</f>
        <v>41274</v>
      </c>
      <c r="H23" s="89">
        <f>Loans!$H$6</f>
        <v>41639</v>
      </c>
      <c r="I23" s="90">
        <f>Loans!$I$6</f>
        <v>42004</v>
      </c>
      <c r="J23" s="89">
        <f>Loans!$J$6</f>
        <v>42369</v>
      </c>
      <c r="K23" s="89">
        <f>Loans!$K$6</f>
        <v>42735</v>
      </c>
      <c r="L23" s="89">
        <f>Loans!$L$6</f>
        <v>43100</v>
      </c>
      <c r="M23" s="89">
        <f>Loans!$M$6</f>
        <v>43465</v>
      </c>
      <c r="N23" s="89">
        <f>Loans!$N$6</f>
        <v>43830</v>
      </c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17"/>
      <c r="AB23" s="317"/>
    </row>
    <row r="24" spans="2:28" outlineLevel="1" x14ac:dyDescent="0.3">
      <c r="C24" s="55" t="s">
        <v>180</v>
      </c>
      <c r="D24" s="80" t="s">
        <v>84</v>
      </c>
      <c r="E24" s="202">
        <v>3.0999999999999999E-3</v>
      </c>
      <c r="F24" s="202">
        <v>3.3E-3</v>
      </c>
      <c r="G24" s="202">
        <v>4.7000000000000002E-3</v>
      </c>
      <c r="H24" s="202">
        <v>2.7499999999999998E-3</v>
      </c>
      <c r="I24" s="202">
        <v>2.3E-3</v>
      </c>
      <c r="J24" s="201">
        <f>INDEX(J25:J27,MATCH(Scenario,$C25:$C27,0))</f>
        <v>3.5000000000000001E-3</v>
      </c>
      <c r="K24" s="201">
        <f>INDEX(K25:K27,MATCH(Scenario,$C25:$C27,0))</f>
        <v>6.4999999999999997E-3</v>
      </c>
      <c r="L24" s="201">
        <f>INDEX(L25:L27,MATCH(Scenario,$C25:$C27,0))</f>
        <v>8.5000000000000006E-3</v>
      </c>
      <c r="M24" s="201">
        <f>INDEX(M25:M27,MATCH(Scenario,$C25:$C27,0))</f>
        <v>1.0500000000000001E-2</v>
      </c>
      <c r="N24" s="201">
        <f>INDEX(N25:N27,MATCH(Scenario,$C25:$C27,0))</f>
        <v>1.35E-2</v>
      </c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</row>
    <row r="25" spans="2:28" outlineLevel="1" x14ac:dyDescent="0.3">
      <c r="C25" s="27" t="str">
        <f>+Loans!$C$19</f>
        <v>Base</v>
      </c>
      <c r="D25" s="80" t="s">
        <v>84</v>
      </c>
      <c r="E25" s="71"/>
      <c r="F25" s="71"/>
      <c r="G25" s="71"/>
      <c r="H25" s="71"/>
      <c r="I25" s="71"/>
      <c r="J25" s="94">
        <v>3.5000000000000001E-3</v>
      </c>
      <c r="K25" s="94">
        <v>6.4999999999999997E-3</v>
      </c>
      <c r="L25" s="94">
        <v>8.5000000000000006E-3</v>
      </c>
      <c r="M25" s="94">
        <v>1.0500000000000001E-2</v>
      </c>
      <c r="N25" s="94">
        <v>1.35E-2</v>
      </c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</row>
    <row r="26" spans="2:28" outlineLevel="1" x14ac:dyDescent="0.3">
      <c r="C26" s="54" t="str">
        <f>+Loans!$C$20</f>
        <v>Upside</v>
      </c>
      <c r="D26" s="80" t="s">
        <v>84</v>
      </c>
      <c r="E26" s="71"/>
      <c r="F26" s="71"/>
      <c r="G26" s="71"/>
      <c r="H26" s="71"/>
      <c r="I26" s="71"/>
      <c r="J26" s="94">
        <v>5.0000000000000001E-3</v>
      </c>
      <c r="K26" s="94">
        <v>8.5000000000000006E-3</v>
      </c>
      <c r="L26" s="94">
        <v>1.0500000000000001E-2</v>
      </c>
      <c r="M26" s="94">
        <v>1.2500000000000001E-2</v>
      </c>
      <c r="N26" s="94">
        <v>1.55E-2</v>
      </c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</row>
    <row r="27" spans="2:28" outlineLevel="1" x14ac:dyDescent="0.3">
      <c r="C27" s="54" t="str">
        <f>+Loans!$C$21</f>
        <v>Downside</v>
      </c>
      <c r="D27" s="80" t="s">
        <v>84</v>
      </c>
      <c r="E27" s="71"/>
      <c r="F27" s="71"/>
      <c r="G27" s="71"/>
      <c r="H27" s="71"/>
      <c r="I27" s="71"/>
      <c r="J27" s="70">
        <v>3.0000000000000001E-3</v>
      </c>
      <c r="K27" s="70">
        <v>4.4999999999999997E-3</v>
      </c>
      <c r="L27" s="70">
        <v>6.4999999999999997E-3</v>
      </c>
      <c r="M27" s="70">
        <v>8.5000000000000006E-3</v>
      </c>
      <c r="N27" s="70">
        <v>1.0500000000000001E-2</v>
      </c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</row>
    <row r="28" spans="2:28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</row>
    <row r="29" spans="2:28" outlineLevel="1" x14ac:dyDescent="0.3">
      <c r="B29" s="209" t="s">
        <v>193</v>
      </c>
      <c r="C29" s="209"/>
      <c r="D29" s="210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AB29" s="317"/>
    </row>
    <row r="30" spans="2:28" outlineLevel="1" x14ac:dyDescent="0.3">
      <c r="C30" s="26" t="str">
        <f>+Loans!$C$7</f>
        <v>Gross Loans:</v>
      </c>
      <c r="D30" s="112"/>
      <c r="E30" s="34"/>
      <c r="F30" s="34"/>
      <c r="G30" s="34"/>
      <c r="H30" s="34"/>
      <c r="I30" s="34"/>
      <c r="J30" s="34"/>
      <c r="K30" s="34"/>
      <c r="L30" s="34"/>
      <c r="M30" s="34"/>
      <c r="N30" s="34"/>
      <c r="AB30" s="317"/>
    </row>
    <row r="31" spans="2:28" outlineLevel="1" x14ac:dyDescent="0.3">
      <c r="C31" s="27" t="str">
        <f>+Loans!$C$8</f>
        <v>Commercial Mortgages:</v>
      </c>
      <c r="D31" s="80" t="s">
        <v>74</v>
      </c>
      <c r="E31" s="306">
        <f>+Loans!E8</f>
        <v>23.4</v>
      </c>
      <c r="F31" s="306">
        <f>+Loans!F8</f>
        <v>48</v>
      </c>
      <c r="G31" s="306">
        <f>+Loans!G8</f>
        <v>208</v>
      </c>
      <c r="H31" s="306">
        <f>+Loans!H8</f>
        <v>544.19999999999993</v>
      </c>
      <c r="I31" s="303">
        <f>+Loans!I8</f>
        <v>970.3</v>
      </c>
      <c r="J31" s="117">
        <f>+Loans!J8+SUM(Loans!$J$77:'Loans'!J$77)*(Loans!J8/Loans!J$13)</f>
        <v>1254.1232824327797</v>
      </c>
      <c r="K31" s="117">
        <f>+Loans!K8+SUM(Loans!$J$77:'Loans'!K$77)*(Loans!K8/Loans!K$13)</f>
        <v>1610.1128784592727</v>
      </c>
      <c r="L31" s="117">
        <f>+Loans!L8+SUM(Loans!$J$77:'Loans'!L$77)*(Loans!L8/Loans!L$13)</f>
        <v>1954.4093813887732</v>
      </c>
      <c r="M31" s="117">
        <f>+Loans!M8+SUM(Loans!$J$77:'Loans'!M$77)*(Loans!M8/Loans!M$13)</f>
        <v>2292.1419238637491</v>
      </c>
      <c r="N31" s="117">
        <f>+Loans!N8+SUM(Loans!$J$77:'Loans'!N$77)*(Loans!N8/Loans!N$13)</f>
        <v>2622.5877071388277</v>
      </c>
      <c r="AB31" s="317"/>
    </row>
    <row r="32" spans="2:28" outlineLevel="1" x14ac:dyDescent="0.3">
      <c r="C32" s="27" t="str">
        <f>+Loans!$C$9</f>
        <v>Asset Finance:</v>
      </c>
      <c r="D32" s="80" t="s">
        <v>74</v>
      </c>
      <c r="E32" s="255">
        <f>+Loans!E9</f>
        <v>0</v>
      </c>
      <c r="F32" s="255">
        <f>+Loans!F9</f>
        <v>0</v>
      </c>
      <c r="G32" s="255">
        <f>+Loans!G9</f>
        <v>348</v>
      </c>
      <c r="H32" s="255">
        <f>+Loans!H9</f>
        <v>394.2</v>
      </c>
      <c r="I32" s="258">
        <f>+Loans!I9</f>
        <v>520.00000000000011</v>
      </c>
      <c r="J32" s="118">
        <f>+Loans!J9+SUM(Loans!$J$77:'Loans'!J$77)*(Loans!J9/Loans!J$13)</f>
        <v>591.22954743259606</v>
      </c>
      <c r="K32" s="118">
        <f>+Loans!K9+SUM(Loans!$J$77:'Loans'!K$77)*(Loans!K9/Loans!K$13)</f>
        <v>654.1370269751917</v>
      </c>
      <c r="L32" s="118">
        <f>+Loans!L9+SUM(Loans!$J$77:'Loans'!L$77)*(Loans!L9/Loans!L$13)</f>
        <v>718.17531335242973</v>
      </c>
      <c r="M32" s="118">
        <f>+Loans!M9+SUM(Loans!$J$77:'Loans'!M$77)*(Loans!M9/Loans!M$13)</f>
        <v>786.28569113829235</v>
      </c>
      <c r="N32" s="118">
        <f>+Loans!N9+SUM(Loans!$J$77:'Loans'!N$77)*(Loans!N9/Loans!N$13)</f>
        <v>833.40009360189424</v>
      </c>
      <c r="AB32" s="317"/>
    </row>
    <row r="33" spans="3:28" outlineLevel="1" x14ac:dyDescent="0.3">
      <c r="C33" s="27" t="str">
        <f>+Loans!$C$10</f>
        <v>Business Credit:</v>
      </c>
      <c r="D33" s="80" t="s">
        <v>74</v>
      </c>
      <c r="E33" s="255">
        <f>+Loans!E10</f>
        <v>0</v>
      </c>
      <c r="F33" s="255">
        <f>+Loans!F10</f>
        <v>0</v>
      </c>
      <c r="G33" s="255">
        <f>+Loans!G10</f>
        <v>0</v>
      </c>
      <c r="H33" s="255">
        <f>+Loans!H10</f>
        <v>0</v>
      </c>
      <c r="I33" s="258">
        <f>+Loans!I10</f>
        <v>170.20000000000002</v>
      </c>
      <c r="J33" s="118">
        <f>+Loans!J10+SUM(Loans!$J$77:'Loans'!J$77)*(Loans!J10/Loans!J$13)</f>
        <v>187.22269002032206</v>
      </c>
      <c r="K33" s="118">
        <f>+Loans!K10+SUM(Loans!$J$77:'Loans'!K$77)*(Loans!K10/Loans!K$13)</f>
        <v>220.18637654143899</v>
      </c>
      <c r="L33" s="118">
        <f>+Loans!L10+SUM(Loans!$J$77:'Loans'!L$77)*(Loans!L10/Loans!L$13)</f>
        <v>235.651274693766</v>
      </c>
      <c r="M33" s="118">
        <f>+Loans!M10+SUM(Loans!$J$77:'Loans'!M$77)*(Loans!M10/Loans!M$13)</f>
        <v>272.57903959460799</v>
      </c>
      <c r="N33" s="118">
        <f>+Loans!N10+SUM(Loans!$J$77:'Loans'!N$77)*(Loans!N10/Loans!N$13)</f>
        <v>290.42730534611468</v>
      </c>
      <c r="AB33" s="317"/>
    </row>
    <row r="34" spans="3:28" outlineLevel="1" x14ac:dyDescent="0.3">
      <c r="C34" s="27" t="str">
        <f>+Loans!$C$11</f>
        <v>Secured Lending:</v>
      </c>
      <c r="D34" s="80" t="s">
        <v>74</v>
      </c>
      <c r="E34" s="255">
        <f>+Loans!E11</f>
        <v>0</v>
      </c>
      <c r="F34" s="255">
        <f>+Loans!F11</f>
        <v>61</v>
      </c>
      <c r="G34" s="255">
        <f>+Loans!G11</f>
        <v>163</v>
      </c>
      <c r="H34" s="255">
        <f>+Loans!H11</f>
        <v>296.7</v>
      </c>
      <c r="I34" s="258">
        <f>+Loans!I11</f>
        <v>402.90000000000003</v>
      </c>
      <c r="J34" s="118">
        <f>+Loans!J11+SUM(Loans!$J$77:'Loans'!J$77)*(Loans!J11/Loans!J$13)</f>
        <v>304.57279716224645</v>
      </c>
      <c r="K34" s="118">
        <f>+Loans!K11+SUM(Loans!$J$77:'Loans'!K$77)*(Loans!K11/Loans!K$13)</f>
        <v>366.97729423573168</v>
      </c>
      <c r="L34" s="118">
        <f>+Loans!L11+SUM(Loans!$J$77:'Loans'!L$77)*(Loans!L11/Loans!L$13)</f>
        <v>645.23563309007363</v>
      </c>
      <c r="M34" s="118">
        <f>+Loans!M11+SUM(Loans!$J$77:'Loans'!M$77)*(Loans!M11/Loans!M$13)</f>
        <v>743.39738071256727</v>
      </c>
      <c r="N34" s="118">
        <f>+Loans!N11+SUM(Loans!$J$77:'Loans'!N$77)*(Loans!N11/Loans!N$13)</f>
        <v>903.33576579226303</v>
      </c>
      <c r="AB34" s="317"/>
    </row>
    <row r="35" spans="3:28" outlineLevel="1" x14ac:dyDescent="0.3">
      <c r="C35" s="27" t="str">
        <f>+Loans!$C$12</f>
        <v>Consumer Lending:</v>
      </c>
      <c r="D35" s="81" t="s">
        <v>74</v>
      </c>
      <c r="E35" s="251">
        <f>+Loans!E12</f>
        <v>0</v>
      </c>
      <c r="F35" s="251">
        <f>+Loans!F12</f>
        <v>2</v>
      </c>
      <c r="G35" s="251">
        <f>+Loans!G12</f>
        <v>29</v>
      </c>
      <c r="H35" s="251">
        <f>+Loans!H12</f>
        <v>117.19999999999999</v>
      </c>
      <c r="I35" s="257">
        <f>+Loans!I12</f>
        <v>232.5</v>
      </c>
      <c r="J35" s="152">
        <f>+Loans!J12+SUM(Loans!$J$77:'Loans'!J$77)*(Loans!J12/Loans!J$13)</f>
        <v>282.17773854737544</v>
      </c>
      <c r="K35" s="152">
        <f>+Loans!K12+SUM(Loans!$J$77:'Loans'!K$77)*(Loans!K12/Loans!K$13)</f>
        <v>327.5272351053905</v>
      </c>
      <c r="L35" s="152">
        <f>+Loans!L12+SUM(Loans!$J$77:'Loans'!L$77)*(Loans!L12/Loans!L$13)</f>
        <v>411.45460660816281</v>
      </c>
      <c r="M35" s="152">
        <f>+Loans!M12+SUM(Loans!$J$77:'Loans'!M$77)*(Loans!M12/Loans!M$13)</f>
        <v>461.28760546779807</v>
      </c>
      <c r="N35" s="152">
        <f>+Loans!N12+SUM(Loans!$J$77:'Loans'!N$77)*(Loans!N12/Loans!N$13)</f>
        <v>512.86159606270417</v>
      </c>
      <c r="AB35" s="317"/>
    </row>
    <row r="36" spans="3:28" outlineLevel="1" x14ac:dyDescent="0.3">
      <c r="C36" s="35" t="s">
        <v>175</v>
      </c>
      <c r="D36" s="80" t="s">
        <v>74</v>
      </c>
      <c r="E36" s="177">
        <f t="shared" ref="E36:H36" si="0">SUM(E31:E35)</f>
        <v>23.4</v>
      </c>
      <c r="F36" s="177">
        <f t="shared" si="0"/>
        <v>111</v>
      </c>
      <c r="G36" s="177">
        <f t="shared" si="0"/>
        <v>748</v>
      </c>
      <c r="H36" s="177">
        <f t="shared" si="0"/>
        <v>1352.3</v>
      </c>
      <c r="I36" s="177">
        <f>SUM(I31:I35)</f>
        <v>2295.9</v>
      </c>
      <c r="J36" s="177">
        <f>SUM(J31:J35)</f>
        <v>2619.3260555953198</v>
      </c>
      <c r="K36" s="177">
        <f t="shared" ref="K36:N36" si="1">SUM(K31:K35)</f>
        <v>3178.9408113170257</v>
      </c>
      <c r="L36" s="177">
        <f t="shared" si="1"/>
        <v>3964.9262091332057</v>
      </c>
      <c r="M36" s="177">
        <f t="shared" si="1"/>
        <v>4555.6916407770141</v>
      </c>
      <c r="N36" s="177">
        <f t="shared" si="1"/>
        <v>5162.6124679418035</v>
      </c>
      <c r="AB36" s="317"/>
    </row>
    <row r="37" spans="3:28" outlineLevel="1" x14ac:dyDescent="0.3">
      <c r="C37" s="26" t="str">
        <f>+$C$268</f>
        <v>Loans and Advances to Banks:</v>
      </c>
      <c r="D37" s="80" t="s">
        <v>74</v>
      </c>
      <c r="E37" s="118">
        <f>+E268</f>
        <v>16.7</v>
      </c>
      <c r="F37" s="118">
        <f t="shared" ref="F37:I37" si="2">+F268</f>
        <v>29.5</v>
      </c>
      <c r="G37" s="118">
        <f t="shared" si="2"/>
        <v>55.6</v>
      </c>
      <c r="H37" s="118">
        <f t="shared" si="2"/>
        <v>23.8</v>
      </c>
      <c r="I37" s="177">
        <f t="shared" si="2"/>
        <v>36.6</v>
      </c>
      <c r="J37" s="118">
        <f t="shared" ref="J37:N37" ca="1" si="3">+J268</f>
        <v>36.6</v>
      </c>
      <c r="K37" s="118">
        <f t="shared" ca="1" si="3"/>
        <v>36.6</v>
      </c>
      <c r="L37" s="118">
        <f t="shared" ca="1" si="3"/>
        <v>36.6</v>
      </c>
      <c r="M37" s="118">
        <f t="shared" ca="1" si="3"/>
        <v>36.6</v>
      </c>
      <c r="N37" s="118">
        <f t="shared" ca="1" si="3"/>
        <v>36.6</v>
      </c>
      <c r="AB37" s="317"/>
    </row>
    <row r="38" spans="3:28" outlineLevel="1" x14ac:dyDescent="0.3">
      <c r="C38" s="26" t="str">
        <f>+$C$269</f>
        <v>Investment Securities - Available for Sale:</v>
      </c>
      <c r="D38" s="80" t="s">
        <v>74</v>
      </c>
      <c r="E38" s="118">
        <f t="shared" ref="E38:I38" si="4">+E269</f>
        <v>0</v>
      </c>
      <c r="F38" s="118">
        <f t="shared" si="4"/>
        <v>64.8</v>
      </c>
      <c r="G38" s="118">
        <f t="shared" si="4"/>
        <v>144.9</v>
      </c>
      <c r="H38" s="118">
        <f t="shared" si="4"/>
        <v>0</v>
      </c>
      <c r="I38" s="177">
        <f t="shared" si="4"/>
        <v>0</v>
      </c>
      <c r="J38" s="118">
        <f t="shared" ref="J38:N38" si="5">+J269</f>
        <v>0</v>
      </c>
      <c r="K38" s="118">
        <f t="shared" si="5"/>
        <v>0</v>
      </c>
      <c r="L38" s="118">
        <f t="shared" si="5"/>
        <v>0</v>
      </c>
      <c r="M38" s="118">
        <f t="shared" si="5"/>
        <v>0</v>
      </c>
      <c r="N38" s="118">
        <f t="shared" si="5"/>
        <v>0</v>
      </c>
      <c r="AB38" s="317"/>
    </row>
    <row r="39" spans="3:28" outlineLevel="1" x14ac:dyDescent="0.3">
      <c r="C39" s="26" t="str">
        <f>+$C$270</f>
        <v>Derivative Financial Instruments:</v>
      </c>
      <c r="D39" s="81" t="s">
        <v>74</v>
      </c>
      <c r="E39" s="118">
        <f t="shared" ref="E39:I39" si="6">+E270</f>
        <v>0</v>
      </c>
      <c r="F39" s="118">
        <f t="shared" si="6"/>
        <v>0.1</v>
      </c>
      <c r="G39" s="118">
        <f t="shared" si="6"/>
        <v>0</v>
      </c>
      <c r="H39" s="118">
        <f t="shared" si="6"/>
        <v>0</v>
      </c>
      <c r="I39" s="177">
        <f t="shared" si="6"/>
        <v>3.7</v>
      </c>
      <c r="J39" s="118">
        <f t="shared" ref="J39:N39" si="7">+J270</f>
        <v>3.9727638741599889</v>
      </c>
      <c r="K39" s="118">
        <f t="shared" si="7"/>
        <v>4.7642997479827134</v>
      </c>
      <c r="L39" s="118">
        <f t="shared" si="7"/>
        <v>5.8758233491522924</v>
      </c>
      <c r="M39" s="118">
        <f t="shared" si="7"/>
        <v>6.6715938933200292</v>
      </c>
      <c r="N39" s="118">
        <f t="shared" si="7"/>
        <v>7.4726129132694146</v>
      </c>
      <c r="AB39" s="317"/>
    </row>
    <row r="40" spans="3:28" outlineLevel="1" x14ac:dyDescent="0.3">
      <c r="C40" s="79" t="s">
        <v>176</v>
      </c>
      <c r="D40" s="80" t="s">
        <v>74</v>
      </c>
      <c r="E40" s="153">
        <f>SUM(E36:E39)</f>
        <v>40.099999999999994</v>
      </c>
      <c r="F40" s="153">
        <f t="shared" ref="F40:I40" si="8">SUM(F36:F39)</f>
        <v>205.4</v>
      </c>
      <c r="G40" s="153">
        <f t="shared" si="8"/>
        <v>948.5</v>
      </c>
      <c r="H40" s="153">
        <f t="shared" si="8"/>
        <v>1376.1</v>
      </c>
      <c r="I40" s="153">
        <f t="shared" si="8"/>
        <v>2336.1999999999998</v>
      </c>
      <c r="J40" s="153">
        <f t="shared" ref="J40:N40" ca="1" si="9">SUM(J36:J39)</f>
        <v>2659.8988194694798</v>
      </c>
      <c r="K40" s="153">
        <f t="shared" ca="1" si="9"/>
        <v>3220.3051110650085</v>
      </c>
      <c r="L40" s="153">
        <f t="shared" ca="1" si="9"/>
        <v>4007.4020324823578</v>
      </c>
      <c r="M40" s="153">
        <f t="shared" ca="1" si="9"/>
        <v>4598.9632346703347</v>
      </c>
      <c r="N40" s="153">
        <f t="shared" ca="1" si="9"/>
        <v>5206.6850808550735</v>
      </c>
      <c r="AB40" s="317"/>
    </row>
    <row r="41" spans="3:28" outlineLevel="1" x14ac:dyDescent="0.3">
      <c r="C41" s="31" t="s">
        <v>177</v>
      </c>
      <c r="D41" s="80" t="s">
        <v>74</v>
      </c>
      <c r="E41" s="177"/>
      <c r="F41" s="177">
        <f>AVERAGE(E40,F40)</f>
        <v>122.75</v>
      </c>
      <c r="G41" s="177">
        <f t="shared" ref="G41:I41" si="10">AVERAGE(F40,G40)</f>
        <v>576.95000000000005</v>
      </c>
      <c r="H41" s="177">
        <f t="shared" si="10"/>
        <v>1162.3</v>
      </c>
      <c r="I41" s="177">
        <f t="shared" si="10"/>
        <v>1856.1499999999999</v>
      </c>
      <c r="J41" s="177">
        <f t="shared" ref="J41" ca="1" si="11">AVERAGE(I40,J40)</f>
        <v>2498.04940973474</v>
      </c>
      <c r="K41" s="177">
        <f t="shared" ref="K41" ca="1" si="12">AVERAGE(J40,K40)</f>
        <v>2940.1019652672439</v>
      </c>
      <c r="L41" s="177">
        <f t="shared" ref="L41" ca="1" si="13">AVERAGE(K40,L40)</f>
        <v>3613.8535717736831</v>
      </c>
      <c r="M41" s="177">
        <f t="shared" ref="M41" ca="1" si="14">AVERAGE(L40,M40)</f>
        <v>4303.1826335763462</v>
      </c>
      <c r="N41" s="177">
        <f t="shared" ref="N41" ca="1" si="15">AVERAGE(M40,N40)</f>
        <v>4902.8241577627041</v>
      </c>
      <c r="AB41" s="317"/>
    </row>
    <row r="42" spans="3:28" outlineLevel="1" x14ac:dyDescent="0.3">
      <c r="C42" s="30"/>
      <c r="D42" s="112"/>
      <c r="E42" s="34"/>
      <c r="F42" s="34"/>
      <c r="G42" s="34"/>
      <c r="H42" s="34"/>
      <c r="I42" s="34"/>
      <c r="J42" s="34"/>
      <c r="K42" s="34"/>
      <c r="L42" s="34"/>
      <c r="M42" s="34"/>
      <c r="N42" s="34"/>
      <c r="AB42" s="317"/>
    </row>
    <row r="43" spans="3:28" outlineLevel="1" x14ac:dyDescent="0.3">
      <c r="C43" s="31" t="s">
        <v>230</v>
      </c>
      <c r="D43" s="80" t="s">
        <v>74</v>
      </c>
      <c r="E43" s="24">
        <v>11.327999999999999</v>
      </c>
      <c r="F43" s="24">
        <v>53.637</v>
      </c>
      <c r="G43" s="24">
        <v>479</v>
      </c>
      <c r="H43" s="24">
        <v>822</v>
      </c>
      <c r="I43" s="24">
        <v>1461</v>
      </c>
      <c r="J43" s="229">
        <f ca="1">+J44*J40</f>
        <v>1728.9342326551618</v>
      </c>
      <c r="K43" s="229">
        <f t="shared" ref="K43:N43" ca="1" si="16">+K44*K40</f>
        <v>2254.213577745506</v>
      </c>
      <c r="L43" s="229">
        <f t="shared" ca="1" si="16"/>
        <v>3005.5515243617683</v>
      </c>
      <c r="M43" s="229">
        <f t="shared" ca="1" si="16"/>
        <v>3564.1965068695094</v>
      </c>
      <c r="N43" s="229">
        <f t="shared" ca="1" si="16"/>
        <v>4165.348064684059</v>
      </c>
      <c r="AB43" s="317"/>
    </row>
    <row r="44" spans="3:28" outlineLevel="1" x14ac:dyDescent="0.3">
      <c r="C44" s="26" t="s">
        <v>71</v>
      </c>
      <c r="D44" s="80" t="s">
        <v>84</v>
      </c>
      <c r="E44" s="61">
        <f>+E43/E40</f>
        <v>0.28249376558603495</v>
      </c>
      <c r="F44" s="61">
        <f t="shared" ref="F44:I44" si="17">+F43/F40</f>
        <v>0.26113437195715677</v>
      </c>
      <c r="G44" s="61">
        <f t="shared" si="17"/>
        <v>0.50500790722192934</v>
      </c>
      <c r="H44" s="61">
        <f t="shared" si="17"/>
        <v>0.59734030957052542</v>
      </c>
      <c r="I44" s="185">
        <f t="shared" si="17"/>
        <v>0.62537453985104019</v>
      </c>
      <c r="J44" s="29">
        <v>0.65</v>
      </c>
      <c r="K44" s="29">
        <v>0.7</v>
      </c>
      <c r="L44" s="29">
        <v>0.75</v>
      </c>
      <c r="M44" s="29">
        <v>0.77500000000000002</v>
      </c>
      <c r="N44" s="29">
        <v>0.8</v>
      </c>
      <c r="AB44" s="317"/>
    </row>
    <row r="45" spans="3:28" outlineLevel="1" x14ac:dyDescent="0.3">
      <c r="C45" s="30"/>
      <c r="D45" s="112"/>
      <c r="E45" s="34"/>
      <c r="F45" s="34"/>
      <c r="G45" s="34"/>
      <c r="H45" s="34"/>
      <c r="I45" s="34"/>
      <c r="J45" s="34"/>
      <c r="K45" s="34"/>
      <c r="L45" s="201"/>
      <c r="M45" s="34"/>
      <c r="N45" s="34"/>
      <c r="AB45" s="317"/>
    </row>
    <row r="46" spans="3:28" outlineLevel="1" x14ac:dyDescent="0.3">
      <c r="C46" s="110" t="s">
        <v>178</v>
      </c>
      <c r="J46" s="322"/>
      <c r="K46" s="322"/>
      <c r="L46" s="322"/>
      <c r="M46" s="322"/>
      <c r="N46" s="322"/>
      <c r="AB46" s="317"/>
    </row>
    <row r="47" spans="3:28" outlineLevel="1" x14ac:dyDescent="0.3">
      <c r="C47" s="26" t="str">
        <f>+Loans!$C$7</f>
        <v>Gross Loans:</v>
      </c>
      <c r="J47" s="140"/>
      <c r="K47" s="140"/>
      <c r="L47" s="140"/>
      <c r="M47" s="140"/>
      <c r="N47" s="140"/>
      <c r="AB47" s="317"/>
    </row>
    <row r="48" spans="3:28" outlineLevel="1" x14ac:dyDescent="0.3">
      <c r="C48" s="27" t="str">
        <f>+Loans!$C$8</f>
        <v>Commercial Mortgages:</v>
      </c>
      <c r="D48" s="80" t="s">
        <v>74</v>
      </c>
      <c r="E48" s="154"/>
      <c r="F48" s="154"/>
      <c r="G48" s="154"/>
      <c r="H48" s="154">
        <v>23.6</v>
      </c>
      <c r="I48" s="206">
        <v>47.4</v>
      </c>
      <c r="J48" s="118">
        <f>+J61*AVERAGE(I31,J31)</f>
        <v>65.064381011158801</v>
      </c>
      <c r="K48" s="118">
        <f t="shared" ref="K48:N48" si="18">+K61*AVERAGE(J31,K31)</f>
        <v>82.346789625646494</v>
      </c>
      <c r="L48" s="118">
        <f t="shared" si="18"/>
        <v>97.133231580859245</v>
      </c>
      <c r="M48" s="118">
        <f t="shared" si="18"/>
        <v>111.47197176287871</v>
      </c>
      <c r="N48" s="118">
        <f t="shared" si="18"/>
        <v>124.09692318281505</v>
      </c>
      <c r="AB48" s="317"/>
    </row>
    <row r="49" spans="3:28" outlineLevel="1" x14ac:dyDescent="0.3">
      <c r="C49" s="27" t="str">
        <f>+Loans!$C$9</f>
        <v>Asset Finance:</v>
      </c>
      <c r="D49" s="80" t="s">
        <v>74</v>
      </c>
      <c r="E49" s="154"/>
      <c r="F49" s="154"/>
      <c r="G49" s="154"/>
      <c r="H49" s="154">
        <v>37.799999999999997</v>
      </c>
      <c r="I49" s="206">
        <v>45.3</v>
      </c>
      <c r="J49" s="118">
        <f t="shared" ref="J49:N49" si="19">+J62*AVERAGE(I32,J32)</f>
        <v>54.172440437339063</v>
      </c>
      <c r="K49" s="118">
        <f t="shared" si="19"/>
        <v>60.711620502379652</v>
      </c>
      <c r="L49" s="118">
        <f t="shared" si="19"/>
        <v>66.900226590971542</v>
      </c>
      <c r="M49" s="118">
        <f t="shared" si="19"/>
        <v>73.342473968922704</v>
      </c>
      <c r="N49" s="118">
        <f t="shared" si="19"/>
        <v>79.769524898454193</v>
      </c>
      <c r="AB49" s="317"/>
    </row>
    <row r="50" spans="3:28" outlineLevel="1" x14ac:dyDescent="0.3">
      <c r="C50" s="27" t="str">
        <f>+Loans!$C$10</f>
        <v>Business Credit:</v>
      </c>
      <c r="D50" s="80" t="s">
        <v>74</v>
      </c>
      <c r="E50" s="154"/>
      <c r="F50" s="154"/>
      <c r="G50" s="154"/>
      <c r="H50" s="154">
        <v>0</v>
      </c>
      <c r="I50" s="206">
        <v>5.9</v>
      </c>
      <c r="J50" s="118">
        <f t="shared" ref="J50:N50" si="20">+J63*AVERAGE(I33,J33)</f>
        <v>12.241727133196033</v>
      </c>
      <c r="K50" s="118">
        <f t="shared" si="20"/>
        <v>14.157465063021197</v>
      </c>
      <c r="L50" s="118">
        <f t="shared" si="20"/>
        <v>15.840358380423375</v>
      </c>
      <c r="M50" s="118">
        <f t="shared" si="20"/>
        <v>17.661003421520991</v>
      </c>
      <c r="N50" s="118">
        <f t="shared" si="20"/>
        <v>19.845973659160475</v>
      </c>
      <c r="AB50" s="317"/>
    </row>
    <row r="51" spans="3:28" outlineLevel="1" x14ac:dyDescent="0.3">
      <c r="C51" s="27" t="str">
        <f>+Loans!$C$11</f>
        <v>Secured Lending:</v>
      </c>
      <c r="D51" s="80" t="s">
        <v>74</v>
      </c>
      <c r="E51" s="154"/>
      <c r="F51" s="154"/>
      <c r="G51" s="154"/>
      <c r="H51" s="154">
        <v>23</v>
      </c>
      <c r="I51" s="206">
        <v>35</v>
      </c>
      <c r="J51" s="118">
        <f t="shared" ref="J51:N51" si="21">+J64*AVERAGE(I34,J34)</f>
        <v>34.48929886165952</v>
      </c>
      <c r="K51" s="118">
        <f t="shared" si="21"/>
        <v>32.402291909952446</v>
      </c>
      <c r="L51" s="118">
        <f t="shared" si="21"/>
        <v>47.827060816144304</v>
      </c>
      <c r="M51" s="118">
        <f t="shared" si="21"/>
        <v>64.224276888372145</v>
      </c>
      <c r="N51" s="118">
        <f t="shared" si="21"/>
        <v>75.338041452595988</v>
      </c>
      <c r="AB51" s="317"/>
    </row>
    <row r="52" spans="3:28" outlineLevel="1" x14ac:dyDescent="0.3">
      <c r="C52" s="197" t="str">
        <f>+Loans!$C$12</f>
        <v>Consumer Lending:</v>
      </c>
      <c r="D52" s="81" t="s">
        <v>74</v>
      </c>
      <c r="E52" s="205"/>
      <c r="F52" s="205"/>
      <c r="G52" s="205"/>
      <c r="H52" s="205">
        <v>7.6</v>
      </c>
      <c r="I52" s="208">
        <v>20.3</v>
      </c>
      <c r="J52" s="152">
        <f t="shared" ref="J52:N52" si="22">+J65*AVERAGE(I35,J35)</f>
        <v>27.921267316195113</v>
      </c>
      <c r="K52" s="152">
        <f t="shared" si="22"/>
        <v>33.076494820662553</v>
      </c>
      <c r="L52" s="152">
        <f t="shared" si="22"/>
        <v>39.720273992103493</v>
      </c>
      <c r="M52" s="152">
        <f t="shared" si="22"/>
        <v>46.909893899082896</v>
      </c>
      <c r="N52" s="152">
        <f t="shared" si="22"/>
        <v>52.847594183029749</v>
      </c>
      <c r="AB52" s="317"/>
    </row>
    <row r="53" spans="3:28" outlineLevel="1" x14ac:dyDescent="0.3">
      <c r="C53" s="28" t="s">
        <v>175</v>
      </c>
      <c r="D53" s="80" t="s">
        <v>74</v>
      </c>
      <c r="E53" s="206">
        <v>1.4</v>
      </c>
      <c r="F53" s="206">
        <v>3.6</v>
      </c>
      <c r="G53" s="206">
        <v>48.1</v>
      </c>
      <c r="H53" s="177">
        <f>SUM(H48:H52)</f>
        <v>92</v>
      </c>
      <c r="I53" s="177">
        <f>SUM(I48:I52)</f>
        <v>153.9</v>
      </c>
      <c r="J53" s="177">
        <f>SUM(J48:J52)</f>
        <v>193.88911475954853</v>
      </c>
      <c r="K53" s="177">
        <f t="shared" ref="K53:N53" si="23">SUM(K48:K52)</f>
        <v>222.69466192166234</v>
      </c>
      <c r="L53" s="177">
        <f t="shared" si="23"/>
        <v>267.42115136050194</v>
      </c>
      <c r="M53" s="177">
        <f t="shared" si="23"/>
        <v>313.60961994077746</v>
      </c>
      <c r="N53" s="177">
        <f t="shared" si="23"/>
        <v>351.89805737605548</v>
      </c>
      <c r="AB53" s="317"/>
    </row>
    <row r="54" spans="3:28" outlineLevel="1" x14ac:dyDescent="0.3">
      <c r="C54" s="26" t="str">
        <f>+$C$268</f>
        <v>Loans and Advances to Banks:</v>
      </c>
      <c r="D54" s="80" t="s">
        <v>74</v>
      </c>
      <c r="E54" s="154">
        <v>0.1</v>
      </c>
      <c r="F54" s="154">
        <v>0.4</v>
      </c>
      <c r="G54" s="154">
        <v>0.4</v>
      </c>
      <c r="H54" s="154">
        <v>1.3</v>
      </c>
      <c r="I54" s="206">
        <v>1.9</v>
      </c>
      <c r="J54" s="118">
        <f ca="1">+J67*IF(Circ_Ref,AVERAGE(I37,J37),I37)</f>
        <v>1.7862538358049611</v>
      </c>
      <c r="K54" s="118">
        <f ca="1">+K67*IF(Circ_Ref,AVERAGE(J37,K37),J37)</f>
        <v>1.8960538358049608</v>
      </c>
      <c r="L54" s="118">
        <f ca="1">+L67*IF(Circ_Ref,AVERAGE(K37,L37),K37)</f>
        <v>1.9692538358049609</v>
      </c>
      <c r="M54" s="118">
        <f ca="1">+M67*IF(Circ_Ref,AVERAGE(L37,M37),L37)</f>
        <v>2.0424538358049609</v>
      </c>
      <c r="N54" s="118">
        <f ca="1">+N67*IF(Circ_Ref,AVERAGE(M37,N37),M37)</f>
        <v>2.1522538358049608</v>
      </c>
      <c r="AB54" s="317"/>
    </row>
    <row r="55" spans="3:28" outlineLevel="1" x14ac:dyDescent="0.3">
      <c r="C55" s="26" t="str">
        <f>+$C$269</f>
        <v>Investment Securities - Available for Sale:</v>
      </c>
      <c r="D55" s="80" t="s">
        <v>74</v>
      </c>
      <c r="E55" s="154">
        <v>0</v>
      </c>
      <c r="F55" s="154">
        <v>0.8</v>
      </c>
      <c r="G55" s="154">
        <v>-0.1</v>
      </c>
      <c r="H55" s="154">
        <v>0</v>
      </c>
      <c r="I55" s="206">
        <v>0</v>
      </c>
      <c r="J55" s="118">
        <f t="shared" ref="J55:N56" si="24">+J68*AVERAGE(I38,J38)</f>
        <v>0</v>
      </c>
      <c r="K55" s="118">
        <f t="shared" si="24"/>
        <v>0</v>
      </c>
      <c r="L55" s="118">
        <f t="shared" si="24"/>
        <v>0</v>
      </c>
      <c r="M55" s="118">
        <f t="shared" si="24"/>
        <v>0</v>
      </c>
      <c r="N55" s="118">
        <f t="shared" si="24"/>
        <v>0</v>
      </c>
      <c r="AB55" s="317"/>
    </row>
    <row r="56" spans="3:28" outlineLevel="1" x14ac:dyDescent="0.3">
      <c r="C56" s="26" t="str">
        <f>+$C$270</f>
        <v>Derivative Financial Instruments:</v>
      </c>
      <c r="D56" s="81" t="s">
        <v>74</v>
      </c>
      <c r="E56" s="154">
        <v>0</v>
      </c>
      <c r="F56" s="154">
        <v>0</v>
      </c>
      <c r="G56" s="154">
        <v>0</v>
      </c>
      <c r="H56" s="154">
        <v>0</v>
      </c>
      <c r="I56" s="206">
        <v>0.9</v>
      </c>
      <c r="J56" s="118">
        <f t="shared" si="24"/>
        <v>1.8709516277147633</v>
      </c>
      <c r="K56" s="118">
        <f t="shared" si="24"/>
        <v>2.1435795254790486</v>
      </c>
      <c r="L56" s="118">
        <f t="shared" si="24"/>
        <v>2.6211224322555795</v>
      </c>
      <c r="M56" s="118">
        <f t="shared" si="24"/>
        <v>3.1035188750792955</v>
      </c>
      <c r="N56" s="118">
        <f t="shared" si="24"/>
        <v>3.5196902948548736</v>
      </c>
      <c r="AB56" s="317"/>
    </row>
    <row r="57" spans="3:28" outlineLevel="1" x14ac:dyDescent="0.3">
      <c r="C57" s="79" t="s">
        <v>176</v>
      </c>
      <c r="D57" s="80" t="s">
        <v>74</v>
      </c>
      <c r="E57" s="153">
        <f t="shared" ref="E57:I57" si="25">SUM(E53:E56)</f>
        <v>1.5</v>
      </c>
      <c r="F57" s="153">
        <f t="shared" si="25"/>
        <v>4.8</v>
      </c>
      <c r="G57" s="153">
        <f t="shared" si="25"/>
        <v>48.4</v>
      </c>
      <c r="H57" s="153">
        <f t="shared" si="25"/>
        <v>93.3</v>
      </c>
      <c r="I57" s="153">
        <f t="shared" si="25"/>
        <v>156.70000000000002</v>
      </c>
      <c r="J57" s="153">
        <f ca="1">SUM(J53:J56)</f>
        <v>197.54632022306825</v>
      </c>
      <c r="K57" s="153">
        <f t="shared" ref="K57:N57" ca="1" si="26">SUM(K53:K56)</f>
        <v>226.73429528294636</v>
      </c>
      <c r="L57" s="153">
        <f t="shared" ca="1" si="26"/>
        <v>272.01152762856248</v>
      </c>
      <c r="M57" s="153">
        <f t="shared" ca="1" si="26"/>
        <v>318.75559265166174</v>
      </c>
      <c r="N57" s="153">
        <f t="shared" ca="1" si="26"/>
        <v>357.5700015067153</v>
      </c>
      <c r="AB57" s="317"/>
    </row>
    <row r="58" spans="3:28" outlineLevel="1" x14ac:dyDescent="0.3">
      <c r="C58" s="110"/>
      <c r="J58" s="196"/>
      <c r="K58" s="140"/>
      <c r="L58" s="140"/>
      <c r="M58" s="140"/>
      <c r="N58" s="140"/>
      <c r="AB58" s="317"/>
    </row>
    <row r="59" spans="3:28" outlineLevel="1" x14ac:dyDescent="0.3">
      <c r="C59" s="110" t="s">
        <v>179</v>
      </c>
      <c r="J59" s="140"/>
      <c r="K59" s="140"/>
      <c r="L59" s="140"/>
      <c r="M59" s="140"/>
      <c r="N59" s="140"/>
      <c r="AB59" s="317"/>
    </row>
    <row r="60" spans="3:28" outlineLevel="1" x14ac:dyDescent="0.3">
      <c r="C60" s="26" t="str">
        <f>+Loans!$C$7</f>
        <v>Gross Loans:</v>
      </c>
      <c r="J60" s="140"/>
      <c r="K60" s="140"/>
      <c r="L60" s="140"/>
      <c r="M60" s="140"/>
      <c r="N60" s="140"/>
      <c r="AB60" s="317"/>
    </row>
    <row r="61" spans="3:28" outlineLevel="1" x14ac:dyDescent="0.3">
      <c r="C61" s="27" t="str">
        <f>+Loans!$C$8</f>
        <v>Commercial Mortgages:</v>
      </c>
      <c r="D61" s="80" t="s">
        <v>84</v>
      </c>
      <c r="E61" s="18"/>
      <c r="F61" s="18">
        <f t="shared" ref="F61:I65" si="27">IFERROR(+F48/AVERAGE(E31,F31),"N/A")</f>
        <v>0</v>
      </c>
      <c r="G61" s="18">
        <f t="shared" si="27"/>
        <v>0</v>
      </c>
      <c r="H61" s="18">
        <f t="shared" si="27"/>
        <v>6.274926881148632E-2</v>
      </c>
      <c r="I61" s="66">
        <f t="shared" si="27"/>
        <v>6.2594915813799931E-2</v>
      </c>
      <c r="J61" s="183">
        <f>+J$24+J74</f>
        <v>5.8500000000000003E-2</v>
      </c>
      <c r="K61" s="183">
        <f t="shared" ref="K61:N61" si="28">+K$24+K74</f>
        <v>5.7499999999999996E-2</v>
      </c>
      <c r="L61" s="183">
        <f t="shared" si="28"/>
        <v>5.45E-2</v>
      </c>
      <c r="M61" s="183">
        <f t="shared" si="28"/>
        <v>5.2500000000000005E-2</v>
      </c>
      <c r="N61" s="183">
        <f t="shared" si="28"/>
        <v>5.0499999999999996E-2</v>
      </c>
      <c r="AB61" s="317"/>
    </row>
    <row r="62" spans="3:28" outlineLevel="1" x14ac:dyDescent="0.3">
      <c r="C62" s="27" t="str">
        <f>+Loans!$C$9</f>
        <v>Asset Finance:</v>
      </c>
      <c r="D62" s="80" t="s">
        <v>84</v>
      </c>
      <c r="E62" s="18"/>
      <c r="F62" s="18" t="str">
        <f t="shared" si="27"/>
        <v>N/A</v>
      </c>
      <c r="G62" s="18">
        <f t="shared" si="27"/>
        <v>0</v>
      </c>
      <c r="H62" s="18">
        <f t="shared" si="27"/>
        <v>0.10185933710590137</v>
      </c>
      <c r="I62" s="66">
        <f t="shared" si="27"/>
        <v>9.9103040910085316E-2</v>
      </c>
      <c r="J62" s="183">
        <f t="shared" ref="J62:N62" si="29">+J$24+J75</f>
        <v>9.7500000000000003E-2</v>
      </c>
      <c r="K62" s="183">
        <f t="shared" si="29"/>
        <v>9.7500000000000003E-2</v>
      </c>
      <c r="L62" s="183">
        <f t="shared" si="29"/>
        <v>9.7500000000000003E-2</v>
      </c>
      <c r="M62" s="183">
        <f t="shared" si="29"/>
        <v>9.7499999999999989E-2</v>
      </c>
      <c r="N62" s="183">
        <f t="shared" si="29"/>
        <v>9.8500000000000004E-2</v>
      </c>
      <c r="AB62" s="317"/>
    </row>
    <row r="63" spans="3:28" outlineLevel="1" x14ac:dyDescent="0.3">
      <c r="C63" s="27" t="str">
        <f>+Loans!$C$10</f>
        <v>Business Credit:</v>
      </c>
      <c r="D63" s="80" t="s">
        <v>84</v>
      </c>
      <c r="E63" s="18"/>
      <c r="F63" s="18" t="str">
        <f t="shared" si="27"/>
        <v>N/A</v>
      </c>
      <c r="G63" s="18" t="str">
        <f t="shared" si="27"/>
        <v>N/A</v>
      </c>
      <c r="H63" s="18" t="str">
        <f t="shared" si="27"/>
        <v>N/A</v>
      </c>
      <c r="I63" s="66">
        <f t="shared" si="27"/>
        <v>6.9330199764982364E-2</v>
      </c>
      <c r="J63" s="183">
        <f t="shared" ref="J63:N63" si="30">+J$24+J76</f>
        <v>6.8500000000000005E-2</v>
      </c>
      <c r="K63" s="183">
        <f t="shared" si="30"/>
        <v>6.9500000000000006E-2</v>
      </c>
      <c r="L63" s="183">
        <f t="shared" si="30"/>
        <v>6.9500000000000006E-2</v>
      </c>
      <c r="M63" s="183">
        <f t="shared" si="30"/>
        <v>6.9499999999999992E-2</v>
      </c>
      <c r="N63" s="183">
        <f t="shared" si="30"/>
        <v>7.0500000000000007E-2</v>
      </c>
      <c r="AB63" s="317"/>
    </row>
    <row r="64" spans="3:28" outlineLevel="1" x14ac:dyDescent="0.3">
      <c r="C64" s="27" t="str">
        <f>+Loans!$C$11</f>
        <v>Secured Lending:</v>
      </c>
      <c r="D64" s="80" t="s">
        <v>84</v>
      </c>
      <c r="E64" s="18"/>
      <c r="F64" s="18">
        <f t="shared" si="27"/>
        <v>0</v>
      </c>
      <c r="G64" s="18">
        <f t="shared" si="27"/>
        <v>0</v>
      </c>
      <c r="H64" s="18">
        <f t="shared" si="27"/>
        <v>0.1000652599521427</v>
      </c>
      <c r="I64" s="66">
        <f t="shared" si="27"/>
        <v>0.10005717552887364</v>
      </c>
      <c r="J64" s="183">
        <f t="shared" ref="J64:N64" si="31">+J$24+J77</f>
        <v>9.7500000000000003E-2</v>
      </c>
      <c r="K64" s="183">
        <f t="shared" si="31"/>
        <v>9.6500000000000002E-2</v>
      </c>
      <c r="L64" s="183">
        <f t="shared" si="31"/>
        <v>9.4500000000000001E-2</v>
      </c>
      <c r="M64" s="183">
        <f t="shared" si="31"/>
        <v>9.2499999999999999E-2</v>
      </c>
      <c r="N64" s="183">
        <f t="shared" si="31"/>
        <v>9.1499999999999998E-2</v>
      </c>
      <c r="AB64" s="317"/>
    </row>
    <row r="65" spans="3:28" outlineLevel="1" x14ac:dyDescent="0.3">
      <c r="C65" s="197" t="str">
        <f>+Loans!$C$12</f>
        <v>Consumer Lending:</v>
      </c>
      <c r="D65" s="81" t="s">
        <v>84</v>
      </c>
      <c r="E65" s="199"/>
      <c r="F65" s="199">
        <f t="shared" si="27"/>
        <v>0</v>
      </c>
      <c r="G65" s="199">
        <f t="shared" si="27"/>
        <v>0</v>
      </c>
      <c r="H65" s="199">
        <f t="shared" si="27"/>
        <v>0.1039671682626539</v>
      </c>
      <c r="I65" s="207">
        <f t="shared" si="27"/>
        <v>0.1160995138690306</v>
      </c>
      <c r="J65" s="204">
        <f t="shared" ref="J65:N65" si="32">+J$24+J78</f>
        <v>0.1085</v>
      </c>
      <c r="K65" s="204">
        <f t="shared" si="32"/>
        <v>0.1085</v>
      </c>
      <c r="L65" s="204">
        <f t="shared" si="32"/>
        <v>0.10750000000000001</v>
      </c>
      <c r="M65" s="204">
        <f t="shared" si="32"/>
        <v>0.1075</v>
      </c>
      <c r="N65" s="204">
        <f t="shared" si="32"/>
        <v>0.1085</v>
      </c>
      <c r="AB65" s="317"/>
    </row>
    <row r="66" spans="3:28" outlineLevel="1" x14ac:dyDescent="0.3">
      <c r="C66" s="28" t="s">
        <v>175</v>
      </c>
      <c r="D66" s="80" t="s">
        <v>84</v>
      </c>
      <c r="E66" s="66"/>
      <c r="F66" s="66">
        <f>+F53/AVERAGE(E36,F36)</f>
        <v>5.3571428571428568E-2</v>
      </c>
      <c r="G66" s="66">
        <f>+G53/AVERAGE(F36,G36)</f>
        <v>0.1119906868451688</v>
      </c>
      <c r="H66" s="66">
        <f>+H53/AVERAGE(G36,H36)</f>
        <v>8.7606532400133302E-2</v>
      </c>
      <c r="I66" s="66">
        <f t="shared" ref="I66" si="33">IFERROR(+I53/AVERAGE(H36,I36),"N/A")</f>
        <v>8.4370374431226372E-2</v>
      </c>
      <c r="J66" s="66">
        <f t="shared" ref="J66" si="34">IFERROR(+J53/AVERAGE(I36,J36),"N/A")</f>
        <v>7.8893264548364775E-2</v>
      </c>
      <c r="K66" s="66">
        <f t="shared" ref="K66" si="35">IFERROR(+K53/AVERAGE(J36,K36),"N/A")</f>
        <v>7.681421605220122E-2</v>
      </c>
      <c r="L66" s="66">
        <f t="shared" ref="L66" si="36">IFERROR(+L53/AVERAGE(K36,L36),"N/A")</f>
        <v>7.4867337422428154E-2</v>
      </c>
      <c r="M66" s="66">
        <f t="shared" ref="M66" si="37">IFERROR(+M53/AVERAGE(L36,M36),"N/A")</f>
        <v>7.3611943515124761E-2</v>
      </c>
      <c r="N66" s="66">
        <f t="shared" ref="N66" si="38">IFERROR(+N53/AVERAGE(M36,N36),"N/A")</f>
        <v>7.2419643065161673E-2</v>
      </c>
      <c r="AB66" s="317"/>
    </row>
    <row r="67" spans="3:28" outlineLevel="1" x14ac:dyDescent="0.3">
      <c r="C67" s="26" t="str">
        <f>+$C$268</f>
        <v>Loans and Advances to Banks:</v>
      </c>
      <c r="D67" s="80" t="s">
        <v>84</v>
      </c>
      <c r="E67" s="18"/>
      <c r="F67" s="18">
        <f t="shared" ref="F67:I69" si="39">IFERROR(+F54/AVERAGE(E37,F37),"N/A")</f>
        <v>1.7316017316017316E-2</v>
      </c>
      <c r="G67" s="18">
        <f t="shared" si="39"/>
        <v>9.4007050528789673E-3</v>
      </c>
      <c r="H67" s="18">
        <f t="shared" si="39"/>
        <v>3.2745591939546598E-2</v>
      </c>
      <c r="I67" s="66">
        <f t="shared" si="39"/>
        <v>6.29139072847682E-2</v>
      </c>
      <c r="J67" s="183">
        <f t="shared" ref="J67:N67" si="40">+J$24+J80</f>
        <v>4.8804749612157403E-2</v>
      </c>
      <c r="K67" s="183">
        <f t="shared" si="40"/>
        <v>5.1804749612157398E-2</v>
      </c>
      <c r="L67" s="183">
        <f t="shared" si="40"/>
        <v>5.38047496121574E-2</v>
      </c>
      <c r="M67" s="183">
        <f t="shared" si="40"/>
        <v>5.5804749612157402E-2</v>
      </c>
      <c r="N67" s="183">
        <f t="shared" si="40"/>
        <v>5.8804749612157398E-2</v>
      </c>
      <c r="AB67" s="317"/>
    </row>
    <row r="68" spans="3:28" outlineLevel="1" x14ac:dyDescent="0.3">
      <c r="C68" s="26" t="str">
        <f>+$C$269</f>
        <v>Investment Securities - Available for Sale:</v>
      </c>
      <c r="D68" s="80" t="s">
        <v>84</v>
      </c>
      <c r="E68" s="18"/>
      <c r="F68" s="18">
        <f t="shared" si="39"/>
        <v>2.469135802469136E-2</v>
      </c>
      <c r="G68" s="18">
        <f t="shared" si="39"/>
        <v>-9.5374344301382935E-4</v>
      </c>
      <c r="H68" s="18">
        <f t="shared" si="39"/>
        <v>0</v>
      </c>
      <c r="I68" s="66" t="str">
        <f t="shared" si="39"/>
        <v>N/A</v>
      </c>
      <c r="J68" s="29">
        <v>0</v>
      </c>
      <c r="K68" s="183">
        <f>+J68</f>
        <v>0</v>
      </c>
      <c r="L68" s="183">
        <f t="shared" ref="L68:N68" si="41">+K68</f>
        <v>0</v>
      </c>
      <c r="M68" s="183">
        <f t="shared" si="41"/>
        <v>0</v>
      </c>
      <c r="N68" s="183">
        <f t="shared" si="41"/>
        <v>0</v>
      </c>
      <c r="AB68" s="317"/>
    </row>
    <row r="69" spans="3:28" outlineLevel="1" x14ac:dyDescent="0.3">
      <c r="C69" s="198" t="str">
        <f>+$C$270</f>
        <v>Derivative Financial Instruments:</v>
      </c>
      <c r="D69" s="81" t="s">
        <v>84</v>
      </c>
      <c r="E69" s="199"/>
      <c r="F69" s="199">
        <f t="shared" si="39"/>
        <v>0</v>
      </c>
      <c r="G69" s="199">
        <f t="shared" si="39"/>
        <v>0</v>
      </c>
      <c r="H69" s="199" t="str">
        <f t="shared" si="39"/>
        <v>N/A</v>
      </c>
      <c r="I69" s="207">
        <f t="shared" si="39"/>
        <v>0.48648648648648646</v>
      </c>
      <c r="J69" s="183">
        <f t="shared" ref="J69:N69" si="42">+J$24+J82</f>
        <v>0.48768648648648644</v>
      </c>
      <c r="K69" s="183">
        <f t="shared" si="42"/>
        <v>0.49068648648648644</v>
      </c>
      <c r="L69" s="183">
        <f t="shared" si="42"/>
        <v>0.49268648648648644</v>
      </c>
      <c r="M69" s="183">
        <f t="shared" si="42"/>
        <v>0.49468648648648644</v>
      </c>
      <c r="N69" s="183">
        <f t="shared" si="42"/>
        <v>0.49768648648648645</v>
      </c>
      <c r="AB69" s="317"/>
    </row>
    <row r="70" spans="3:28" outlineLevel="1" x14ac:dyDescent="0.3">
      <c r="C70" s="79" t="s">
        <v>176</v>
      </c>
      <c r="D70" s="80" t="s">
        <v>84</v>
      </c>
      <c r="E70" s="200"/>
      <c r="F70" s="200">
        <f t="shared" ref="F70:N70" si="43">IFERROR(+F57/F41,"N/A")</f>
        <v>3.9103869653767817E-2</v>
      </c>
      <c r="G70" s="200">
        <f t="shared" si="43"/>
        <v>8.3889418493803616E-2</v>
      </c>
      <c r="H70" s="200">
        <f t="shared" si="43"/>
        <v>8.0271874731136547E-2</v>
      </c>
      <c r="I70" s="200">
        <f t="shared" si="43"/>
        <v>8.4422056407079185E-2</v>
      </c>
      <c r="J70" s="200">
        <f t="shared" ca="1" si="43"/>
        <v>7.9080229339436911E-2</v>
      </c>
      <c r="K70" s="200">
        <f t="shared" ca="1" si="43"/>
        <v>7.7117833994011523E-2</v>
      </c>
      <c r="L70" s="200">
        <f t="shared" ca="1" si="43"/>
        <v>7.526910601833238E-2</v>
      </c>
      <c r="M70" s="200">
        <f t="shared" ca="1" si="43"/>
        <v>7.4074381636632075E-2</v>
      </c>
      <c r="N70" s="200">
        <f t="shared" ca="1" si="43"/>
        <v>7.2931435026192024E-2</v>
      </c>
      <c r="AB70" s="317"/>
    </row>
    <row r="71" spans="3:28" outlineLevel="1" x14ac:dyDescent="0.3">
      <c r="C71" s="30"/>
      <c r="D71" s="112"/>
      <c r="E71" s="34"/>
      <c r="F71" s="34"/>
      <c r="G71" s="34"/>
      <c r="H71" s="34"/>
      <c r="I71" s="34"/>
      <c r="J71" s="34"/>
      <c r="K71" s="34"/>
      <c r="L71" s="34"/>
      <c r="M71" s="34"/>
      <c r="N71" s="34"/>
      <c r="AB71" s="317"/>
    </row>
    <row r="72" spans="3:28" outlineLevel="1" x14ac:dyDescent="0.3">
      <c r="C72" s="31" t="s">
        <v>181</v>
      </c>
      <c r="D72" s="112"/>
      <c r="E72" s="34"/>
      <c r="F72" s="34"/>
      <c r="G72" s="34"/>
      <c r="H72" s="34"/>
      <c r="I72" s="34"/>
      <c r="J72" s="34"/>
      <c r="K72" s="34"/>
      <c r="L72" s="34"/>
      <c r="M72" s="34"/>
      <c r="N72" s="34"/>
      <c r="AB72" s="317"/>
    </row>
    <row r="73" spans="3:28" outlineLevel="1" x14ac:dyDescent="0.3">
      <c r="C73" s="26" t="str">
        <f>+Loans!$C$7</f>
        <v>Gross Loans:</v>
      </c>
      <c r="J73" s="140"/>
      <c r="K73" s="140"/>
      <c r="L73" s="140"/>
      <c r="M73" s="140"/>
      <c r="N73" s="140"/>
      <c r="AB73" s="317"/>
    </row>
    <row r="74" spans="3:28" outlineLevel="1" x14ac:dyDescent="0.3">
      <c r="C74" s="27" t="str">
        <f>+Loans!$C$8</f>
        <v>Commercial Mortgages:</v>
      </c>
      <c r="D74" s="80" t="s">
        <v>84</v>
      </c>
      <c r="E74" s="18"/>
      <c r="F74" s="18"/>
      <c r="G74" s="18"/>
      <c r="H74" s="18">
        <f t="shared" ref="H74:N83" si="44">IFERROR(+H61-H$24,"N/A")</f>
        <v>5.9999268811486317E-2</v>
      </c>
      <c r="I74" s="66">
        <f t="shared" si="44"/>
        <v>6.0294915813799935E-2</v>
      </c>
      <c r="J74" s="56">
        <v>5.5E-2</v>
      </c>
      <c r="K74" s="56">
        <v>5.0999999999999997E-2</v>
      </c>
      <c r="L74" s="56">
        <v>4.5999999999999999E-2</v>
      </c>
      <c r="M74" s="56">
        <v>4.2000000000000003E-2</v>
      </c>
      <c r="N74" s="56">
        <v>3.6999999999999998E-2</v>
      </c>
      <c r="AB74" s="317"/>
    </row>
    <row r="75" spans="3:28" outlineLevel="1" x14ac:dyDescent="0.3">
      <c r="C75" s="27" t="str">
        <f>+Loans!$C$9</f>
        <v>Asset Finance:</v>
      </c>
      <c r="D75" s="80" t="s">
        <v>84</v>
      </c>
      <c r="E75" s="18"/>
      <c r="F75" s="18"/>
      <c r="G75" s="18"/>
      <c r="H75" s="18">
        <f t="shared" si="44"/>
        <v>9.9109337105901363E-2</v>
      </c>
      <c r="I75" s="66">
        <f t="shared" si="44"/>
        <v>9.680304091008532E-2</v>
      </c>
      <c r="J75" s="56">
        <v>9.4E-2</v>
      </c>
      <c r="K75" s="56">
        <v>9.0999999999999998E-2</v>
      </c>
      <c r="L75" s="56">
        <v>8.8999999999999996E-2</v>
      </c>
      <c r="M75" s="56">
        <v>8.6999999999999994E-2</v>
      </c>
      <c r="N75" s="56">
        <v>8.5000000000000006E-2</v>
      </c>
      <c r="AB75" s="317"/>
    </row>
    <row r="76" spans="3:28" outlineLevel="1" x14ac:dyDescent="0.3">
      <c r="C76" s="27" t="str">
        <f>+Loans!$C$10</f>
        <v>Business Credit:</v>
      </c>
      <c r="D76" s="80" t="s">
        <v>84</v>
      </c>
      <c r="E76" s="18"/>
      <c r="F76" s="18"/>
      <c r="G76" s="18"/>
      <c r="H76" s="18" t="str">
        <f t="shared" si="44"/>
        <v>N/A</v>
      </c>
      <c r="I76" s="66">
        <f t="shared" si="44"/>
        <v>6.7030199764982368E-2</v>
      </c>
      <c r="J76" s="56">
        <v>6.5000000000000002E-2</v>
      </c>
      <c r="K76" s="56">
        <v>6.3E-2</v>
      </c>
      <c r="L76" s="56">
        <v>6.0999999999999999E-2</v>
      </c>
      <c r="M76" s="56">
        <v>5.8999999999999997E-2</v>
      </c>
      <c r="N76" s="56">
        <v>5.7000000000000002E-2</v>
      </c>
      <c r="AB76" s="317"/>
    </row>
    <row r="77" spans="3:28" outlineLevel="1" x14ac:dyDescent="0.3">
      <c r="C77" s="27" t="str">
        <f>+Loans!$C$11</f>
        <v>Secured Lending:</v>
      </c>
      <c r="D77" s="80" t="s">
        <v>84</v>
      </c>
      <c r="E77" s="18"/>
      <c r="F77" s="18"/>
      <c r="G77" s="18"/>
      <c r="H77" s="18">
        <f t="shared" si="44"/>
        <v>9.7315259952142699E-2</v>
      </c>
      <c r="I77" s="66">
        <f t="shared" si="44"/>
        <v>9.7757175528873641E-2</v>
      </c>
      <c r="J77" s="56">
        <v>9.4E-2</v>
      </c>
      <c r="K77" s="56">
        <v>0.09</v>
      </c>
      <c r="L77" s="56">
        <v>8.5999999999999993E-2</v>
      </c>
      <c r="M77" s="56">
        <v>8.2000000000000003E-2</v>
      </c>
      <c r="N77" s="56">
        <v>7.8E-2</v>
      </c>
      <c r="AB77" s="317"/>
    </row>
    <row r="78" spans="3:28" outlineLevel="1" x14ac:dyDescent="0.3">
      <c r="C78" s="197" t="str">
        <f>+Loans!$C$12</f>
        <v>Consumer Lending:</v>
      </c>
      <c r="D78" s="81" t="s">
        <v>84</v>
      </c>
      <c r="E78" s="199"/>
      <c r="F78" s="199"/>
      <c r="G78" s="199"/>
      <c r="H78" s="199">
        <f t="shared" si="44"/>
        <v>0.10121716826265389</v>
      </c>
      <c r="I78" s="207">
        <f t="shared" si="44"/>
        <v>0.1137995138690306</v>
      </c>
      <c r="J78" s="49">
        <v>0.105</v>
      </c>
      <c r="K78" s="49">
        <v>0.10199999999999999</v>
      </c>
      <c r="L78" s="49">
        <v>9.9000000000000005E-2</v>
      </c>
      <c r="M78" s="49">
        <v>9.7000000000000003E-2</v>
      </c>
      <c r="N78" s="49">
        <v>9.5000000000000001E-2</v>
      </c>
      <c r="AB78" s="317"/>
    </row>
    <row r="79" spans="3:28" outlineLevel="1" x14ac:dyDescent="0.3">
      <c r="C79" s="28" t="s">
        <v>175</v>
      </c>
      <c r="D79" s="80" t="s">
        <v>84</v>
      </c>
      <c r="E79" s="66"/>
      <c r="F79" s="66">
        <f t="shared" ref="F79:G81" si="45">IFERROR(+F66-F$24,"N/A")</f>
        <v>5.0271428571428571E-2</v>
      </c>
      <c r="G79" s="66">
        <f t="shared" si="45"/>
        <v>0.10729068684516881</v>
      </c>
      <c r="H79" s="66">
        <f t="shared" si="44"/>
        <v>8.48565324001333E-2</v>
      </c>
      <c r="I79" s="66">
        <f t="shared" si="44"/>
        <v>8.2070374431226376E-2</v>
      </c>
      <c r="J79" s="66">
        <f t="shared" si="44"/>
        <v>7.5393264548364772E-2</v>
      </c>
      <c r="K79" s="66">
        <f t="shared" si="44"/>
        <v>7.0314216052201214E-2</v>
      </c>
      <c r="L79" s="66">
        <f t="shared" si="44"/>
        <v>6.6367337422428146E-2</v>
      </c>
      <c r="M79" s="66">
        <f t="shared" si="44"/>
        <v>6.3111943515124766E-2</v>
      </c>
      <c r="N79" s="66">
        <f t="shared" si="44"/>
        <v>5.8919643065161675E-2</v>
      </c>
      <c r="AB79" s="317"/>
    </row>
    <row r="80" spans="3:28" outlineLevel="1" x14ac:dyDescent="0.3">
      <c r="C80" s="26" t="str">
        <f>+$C$268</f>
        <v>Loans and Advances to Banks:</v>
      </c>
      <c r="D80" s="80" t="s">
        <v>84</v>
      </c>
      <c r="E80" s="18"/>
      <c r="F80" s="18">
        <f t="shared" si="45"/>
        <v>1.4016017316017315E-2</v>
      </c>
      <c r="G80" s="18">
        <f t="shared" si="45"/>
        <v>4.7007050528789672E-3</v>
      </c>
      <c r="H80" s="18">
        <f t="shared" si="44"/>
        <v>2.9995591939546599E-2</v>
      </c>
      <c r="I80" s="66">
        <f t="shared" si="44"/>
        <v>6.0613907284768204E-2</v>
      </c>
      <c r="J80" s="183">
        <f>AVERAGE(H80,I80)</f>
        <v>4.5304749612157399E-2</v>
      </c>
      <c r="K80" s="183">
        <f>+J80</f>
        <v>4.5304749612157399E-2</v>
      </c>
      <c r="L80" s="183">
        <f t="shared" ref="L80:N80" si="46">+K80</f>
        <v>4.5304749612157399E-2</v>
      </c>
      <c r="M80" s="183">
        <f t="shared" si="46"/>
        <v>4.5304749612157399E-2</v>
      </c>
      <c r="N80" s="183">
        <f t="shared" si="46"/>
        <v>4.5304749612157399E-2</v>
      </c>
      <c r="AB80" s="317"/>
    </row>
    <row r="81" spans="2:14" outlineLevel="1" x14ac:dyDescent="0.3">
      <c r="C81" s="26" t="str">
        <f>+$C$269</f>
        <v>Investment Securities - Available for Sale:</v>
      </c>
      <c r="D81" s="80" t="s">
        <v>84</v>
      </c>
      <c r="E81" s="18"/>
      <c r="F81" s="18">
        <f t="shared" si="45"/>
        <v>2.1391358024691359E-2</v>
      </c>
      <c r="G81" s="18">
        <f t="shared" si="45"/>
        <v>-5.6537434430138298E-3</v>
      </c>
      <c r="H81" s="18">
        <f t="shared" si="44"/>
        <v>-2.7499999999999998E-3</v>
      </c>
      <c r="I81" s="66" t="str">
        <f t="shared" si="44"/>
        <v>N/A</v>
      </c>
      <c r="J81" s="29">
        <v>0</v>
      </c>
      <c r="K81" s="183">
        <v>0</v>
      </c>
      <c r="L81" s="183">
        <v>0</v>
      </c>
      <c r="M81" s="183">
        <v>0</v>
      </c>
      <c r="N81" s="183">
        <v>0</v>
      </c>
    </row>
    <row r="82" spans="2:14" outlineLevel="1" x14ac:dyDescent="0.3">
      <c r="C82" s="198" t="str">
        <f>+$C$270</f>
        <v>Derivative Financial Instruments:</v>
      </c>
      <c r="D82" s="81" t="s">
        <v>84</v>
      </c>
      <c r="E82" s="199"/>
      <c r="F82" s="199"/>
      <c r="G82" s="199"/>
      <c r="H82" s="199" t="str">
        <f t="shared" si="44"/>
        <v>N/A</v>
      </c>
      <c r="I82" s="207">
        <f t="shared" si="44"/>
        <v>0.48418648648648643</v>
      </c>
      <c r="J82" s="183">
        <f>+I82</f>
        <v>0.48418648648648643</v>
      </c>
      <c r="K82" s="183">
        <f t="shared" ref="K82:N82" si="47">+J82</f>
        <v>0.48418648648648643</v>
      </c>
      <c r="L82" s="183">
        <f t="shared" si="47"/>
        <v>0.48418648648648643</v>
      </c>
      <c r="M82" s="183">
        <f t="shared" si="47"/>
        <v>0.48418648648648643</v>
      </c>
      <c r="N82" s="183">
        <f t="shared" si="47"/>
        <v>0.48418648648648643</v>
      </c>
    </row>
    <row r="83" spans="2:14" outlineLevel="1" x14ac:dyDescent="0.3">
      <c r="C83" s="79" t="s">
        <v>176</v>
      </c>
      <c r="D83" s="80" t="s">
        <v>84</v>
      </c>
      <c r="E83" s="200"/>
      <c r="F83" s="200">
        <f>IFERROR(+F70-F$24,"N/A")</f>
        <v>3.580386965376782E-2</v>
      </c>
      <c r="G83" s="200">
        <f>IFERROR(+G70-G$24,"N/A")</f>
        <v>7.9189418493803621E-2</v>
      </c>
      <c r="H83" s="200">
        <f t="shared" si="44"/>
        <v>7.7521874731136545E-2</v>
      </c>
      <c r="I83" s="200">
        <f t="shared" si="44"/>
        <v>8.2122056407079189E-2</v>
      </c>
      <c r="J83" s="200">
        <f t="shared" ca="1" si="44"/>
        <v>7.5580229339436908E-2</v>
      </c>
      <c r="K83" s="200">
        <f t="shared" ca="1" si="44"/>
        <v>7.0617833994011517E-2</v>
      </c>
      <c r="L83" s="200">
        <f t="shared" ca="1" si="44"/>
        <v>6.6769106018332386E-2</v>
      </c>
      <c r="M83" s="200">
        <f t="shared" ca="1" si="44"/>
        <v>6.357438163663208E-2</v>
      </c>
      <c r="N83" s="200">
        <f t="shared" ca="1" si="44"/>
        <v>5.9431435026192025E-2</v>
      </c>
    </row>
    <row r="84" spans="2:14" x14ac:dyDescent="0.3">
      <c r="C84" s="32"/>
      <c r="D84" s="112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x14ac:dyDescent="0.3">
      <c r="B85" s="209" t="s">
        <v>194</v>
      </c>
      <c r="C85" s="209"/>
      <c r="D85" s="212"/>
      <c r="E85" s="213"/>
      <c r="F85" s="213"/>
      <c r="G85" s="213"/>
      <c r="H85" s="213"/>
      <c r="I85" s="213"/>
      <c r="J85" s="213"/>
      <c r="K85" s="213"/>
      <c r="L85" s="213"/>
      <c r="M85" s="213"/>
      <c r="N85" s="213"/>
    </row>
    <row r="86" spans="2:14" outlineLevel="1" x14ac:dyDescent="0.3">
      <c r="C86" s="26" t="str">
        <f>+$C$285</f>
        <v>Deposits:</v>
      </c>
      <c r="D86" s="80" t="s">
        <v>74</v>
      </c>
      <c r="E86" s="118">
        <f>+E285</f>
        <v>29.7</v>
      </c>
      <c r="F86" s="118">
        <f t="shared" ref="F86:I86" si="48">+F285</f>
        <v>180.4</v>
      </c>
      <c r="G86" s="118">
        <f t="shared" si="48"/>
        <v>923.7</v>
      </c>
      <c r="H86" s="118">
        <f t="shared" si="48"/>
        <v>1463</v>
      </c>
      <c r="I86" s="177">
        <f t="shared" si="48"/>
        <v>2421</v>
      </c>
      <c r="J86" s="118">
        <f t="shared" ref="J86:N86" si="49">+J285</f>
        <v>2599.4760376598197</v>
      </c>
      <c r="K86" s="118">
        <f t="shared" si="49"/>
        <v>3117.3972134773376</v>
      </c>
      <c r="L86" s="118">
        <f t="shared" si="49"/>
        <v>3844.6941427831616</v>
      </c>
      <c r="M86" s="118">
        <f t="shared" si="49"/>
        <v>4365.3861664129163</v>
      </c>
      <c r="N86" s="118">
        <f t="shared" si="49"/>
        <v>4889.51239541223</v>
      </c>
    </row>
    <row r="87" spans="2:14" outlineLevel="1" x14ac:dyDescent="0.3">
      <c r="C87" s="26" t="str">
        <f>+$C$286</f>
        <v>Due to Banks:</v>
      </c>
      <c r="D87" s="80" t="s">
        <v>74</v>
      </c>
      <c r="E87" s="118">
        <f t="shared" ref="E87:I87" si="50">+E286</f>
        <v>0</v>
      </c>
      <c r="F87" s="118">
        <f t="shared" si="50"/>
        <v>0</v>
      </c>
      <c r="G87" s="118">
        <f t="shared" si="50"/>
        <v>0</v>
      </c>
      <c r="H87" s="118">
        <f t="shared" si="50"/>
        <v>24.6</v>
      </c>
      <c r="I87" s="177">
        <f t="shared" si="50"/>
        <v>41</v>
      </c>
      <c r="J87" s="118">
        <f t="shared" ref="J87:N87" ca="1" si="51">+J286</f>
        <v>76.804218315143316</v>
      </c>
      <c r="K87" s="118">
        <f t="shared" ca="1" si="51"/>
        <v>84.043652791715431</v>
      </c>
      <c r="L87" s="118">
        <f t="shared" ca="1" si="51"/>
        <v>135.13254567728745</v>
      </c>
      <c r="M87" s="118">
        <f t="shared" ca="1" si="51"/>
        <v>169.20793268745456</v>
      </c>
      <c r="N87" s="118">
        <f t="shared" ca="1" si="51"/>
        <v>214.45032427993465</v>
      </c>
    </row>
    <row r="88" spans="2:14" outlineLevel="1" x14ac:dyDescent="0.3">
      <c r="C88" s="26" t="str">
        <f>+$C$287</f>
        <v>Subordinated Notes:</v>
      </c>
      <c r="D88" s="81" t="s">
        <v>74</v>
      </c>
      <c r="E88" s="118">
        <f t="shared" ref="E88:I88" si="52">+E287</f>
        <v>5</v>
      </c>
      <c r="F88" s="118">
        <f t="shared" si="52"/>
        <v>0</v>
      </c>
      <c r="G88" s="118">
        <f t="shared" si="52"/>
        <v>0</v>
      </c>
      <c r="H88" s="118">
        <f t="shared" si="52"/>
        <v>27.6</v>
      </c>
      <c r="I88" s="177">
        <f t="shared" si="52"/>
        <v>30.8</v>
      </c>
      <c r="J88" s="118">
        <f t="shared" ref="J88:N88" ca="1" si="53">+J287</f>
        <v>35.411934568027469</v>
      </c>
      <c r="K88" s="118">
        <f t="shared" ca="1" si="53"/>
        <v>41.310513477708042</v>
      </c>
      <c r="L88" s="118">
        <f t="shared" ca="1" si="53"/>
        <v>48.614336415270401</v>
      </c>
      <c r="M88" s="118">
        <f t="shared" ca="1" si="53"/>
        <v>56.148593876234607</v>
      </c>
      <c r="N88" s="118">
        <f t="shared" ca="1" si="53"/>
        <v>64.611141821081347</v>
      </c>
    </row>
    <row r="89" spans="2:14" outlineLevel="1" x14ac:dyDescent="0.3">
      <c r="C89" s="119" t="s">
        <v>186</v>
      </c>
      <c r="D89" s="80" t="s">
        <v>74</v>
      </c>
      <c r="E89" s="153">
        <f t="shared" ref="E89:I89" si="54">SUM(E86:E88)</f>
        <v>34.700000000000003</v>
      </c>
      <c r="F89" s="153">
        <f t="shared" si="54"/>
        <v>180.4</v>
      </c>
      <c r="G89" s="153">
        <f t="shared" si="54"/>
        <v>923.7</v>
      </c>
      <c r="H89" s="153">
        <f t="shared" si="54"/>
        <v>1515.1999999999998</v>
      </c>
      <c r="I89" s="153">
        <f t="shared" si="54"/>
        <v>2492.8000000000002</v>
      </c>
      <c r="J89" s="153">
        <f t="shared" ref="J89:N89" ca="1" si="55">SUM(J86:J88)</f>
        <v>2711.6921905429904</v>
      </c>
      <c r="K89" s="153">
        <f t="shared" ca="1" si="55"/>
        <v>3242.7513797467609</v>
      </c>
      <c r="L89" s="153">
        <f t="shared" ca="1" si="55"/>
        <v>4028.4410248757194</v>
      </c>
      <c r="M89" s="153">
        <f t="shared" ca="1" si="55"/>
        <v>4590.7426929766052</v>
      </c>
      <c r="N89" s="153">
        <f t="shared" ca="1" si="55"/>
        <v>5168.5738615132459</v>
      </c>
    </row>
    <row r="90" spans="2:14" outlineLevel="1" x14ac:dyDescent="0.3">
      <c r="C90" s="110" t="s">
        <v>187</v>
      </c>
      <c r="D90" s="80" t="s">
        <v>74</v>
      </c>
      <c r="E90" s="177"/>
      <c r="F90" s="177">
        <f t="shared" ref="F90:I90" si="56">AVERAGE(E89,F89)</f>
        <v>107.55000000000001</v>
      </c>
      <c r="G90" s="177">
        <f t="shared" si="56"/>
        <v>552.05000000000007</v>
      </c>
      <c r="H90" s="177">
        <f t="shared" si="56"/>
        <v>1219.4499999999998</v>
      </c>
      <c r="I90" s="177">
        <f t="shared" si="56"/>
        <v>2004</v>
      </c>
      <c r="J90" s="177">
        <f t="shared" ref="J90" ca="1" si="57">AVERAGE(I89,J89)</f>
        <v>2602.2460952714955</v>
      </c>
      <c r="K90" s="177">
        <f t="shared" ref="K90" ca="1" si="58">AVERAGE(J89,K89)</f>
        <v>2977.2217851448759</v>
      </c>
      <c r="L90" s="177">
        <f t="shared" ref="L90" ca="1" si="59">AVERAGE(K89,L89)</f>
        <v>3635.5962023112402</v>
      </c>
      <c r="M90" s="177">
        <f t="shared" ref="M90" ca="1" si="60">AVERAGE(L89,M89)</f>
        <v>4309.5918589261619</v>
      </c>
      <c r="N90" s="177">
        <f t="shared" ref="N90" ca="1" si="61">AVERAGE(M89,N89)</f>
        <v>4879.6582772449256</v>
      </c>
    </row>
    <row r="91" spans="2:14" outlineLevel="1" x14ac:dyDescent="0.3"/>
    <row r="92" spans="2:14" outlineLevel="1" x14ac:dyDescent="0.3">
      <c r="C92" s="110" t="s">
        <v>182</v>
      </c>
    </row>
    <row r="93" spans="2:14" outlineLevel="1" x14ac:dyDescent="0.3">
      <c r="C93" s="26" t="str">
        <f>+$C$285</f>
        <v>Deposits:</v>
      </c>
      <c r="D93" s="80" t="s">
        <v>74</v>
      </c>
      <c r="E93" s="154">
        <v>-0.70899999999999996</v>
      </c>
      <c r="F93" s="154">
        <v>-2.9969999999999999</v>
      </c>
      <c r="G93" s="154">
        <v>-27.388000000000002</v>
      </c>
      <c r="H93" s="154">
        <v>-37.700000000000003</v>
      </c>
      <c r="I93" s="206">
        <v>-50.2</v>
      </c>
      <c r="J93" s="118">
        <f>-J100*J108-J101*J109</f>
        <v>-66.835087251346351</v>
      </c>
      <c r="K93" s="118">
        <f t="shared" ref="K93:N93" si="62">-K100*K108-K101*K109</f>
        <v>-81.108139250508415</v>
      </c>
      <c r="L93" s="118">
        <f t="shared" si="62"/>
        <v>-103.9962396341412</v>
      </c>
      <c r="M93" s="118">
        <f t="shared" si="62"/>
        <v>-128.79563485051347</v>
      </c>
      <c r="N93" s="118">
        <f t="shared" si="62"/>
        <v>-153.28425743022899</v>
      </c>
    </row>
    <row r="94" spans="2:14" outlineLevel="1" x14ac:dyDescent="0.3">
      <c r="C94" s="26" t="str">
        <f>+$C$286</f>
        <v>Due to Banks:</v>
      </c>
      <c r="D94" s="80" t="s">
        <v>74</v>
      </c>
      <c r="E94" s="154">
        <v>0</v>
      </c>
      <c r="F94" s="154">
        <v>0</v>
      </c>
      <c r="G94" s="154">
        <v>0</v>
      </c>
      <c r="H94" s="154">
        <v>-0.2</v>
      </c>
      <c r="I94" s="206">
        <v>-0.5</v>
      </c>
      <c r="J94" s="118">
        <f ca="1">-J110*IF(Circ_Ref,AVERAGE(I87,J87),I87)</f>
        <v>-0.98525749539444607</v>
      </c>
      <c r="K94" s="118">
        <f ca="1">-K110*IF(Circ_Ref,AVERAGE(J87,K87),J87)</f>
        <v>-1.5865255920750394</v>
      </c>
      <c r="L94" s="118">
        <f ca="1">-L110*IF(Circ_Ref,AVERAGE(K87,L87),K87)</f>
        <v>-2.3810241959086382</v>
      </c>
      <c r="M94" s="118">
        <f ca="1">-M110*IF(Circ_Ref,AVERAGE(L87,M87),L87)</f>
        <v>-3.6105482137057812</v>
      </c>
      <c r="N94" s="118">
        <f ca="1">-N110*IF(Circ_Ref,AVERAGE(M87,N87),M87)</f>
        <v>-5.1270233553293476</v>
      </c>
    </row>
    <row r="95" spans="2:14" outlineLevel="1" x14ac:dyDescent="0.3">
      <c r="C95" s="26" t="str">
        <f>+$C$287</f>
        <v>Subordinated Notes:</v>
      </c>
      <c r="D95" s="80" t="s">
        <v>74</v>
      </c>
      <c r="E95" s="154">
        <v>0</v>
      </c>
      <c r="F95" s="154">
        <v>0</v>
      </c>
      <c r="G95" s="154">
        <v>0</v>
      </c>
      <c r="H95" s="154">
        <v>-0.5</v>
      </c>
      <c r="I95" s="206">
        <v>-3.2</v>
      </c>
      <c r="J95" s="118">
        <f ca="1">-J111*IF(Circ_Ref,AVERAGE(I88,J88),I88)</f>
        <v>-3.6416564012415109</v>
      </c>
      <c r="K95" s="118">
        <f ca="1">-K111*IF(Circ_Ref,AVERAGE(J88,K88),J88)</f>
        <v>-4.2197346425154532</v>
      </c>
      <c r="L95" s="118">
        <f ca="1">-L111*IF(Circ_Ref,AVERAGE(K88,L88),K88)</f>
        <v>-4.9458667441138147</v>
      </c>
      <c r="M95" s="118">
        <f ca="1">-M111*IF(Circ_Ref,AVERAGE(L88,M88),L88)</f>
        <v>-5.7619611660327754</v>
      </c>
      <c r="N95" s="118">
        <f ca="1">-N111*IF(Circ_Ref,AVERAGE(M88,N88),M88)</f>
        <v>-6.6417854633523783</v>
      </c>
    </row>
    <row r="96" spans="2:14" outlineLevel="1" x14ac:dyDescent="0.3">
      <c r="C96" s="26" t="s">
        <v>183</v>
      </c>
      <c r="D96" s="81" t="s">
        <v>74</v>
      </c>
      <c r="E96" s="154">
        <v>0</v>
      </c>
      <c r="F96" s="154">
        <v>0</v>
      </c>
      <c r="G96" s="154">
        <v>0</v>
      </c>
      <c r="H96" s="154">
        <v>0</v>
      </c>
      <c r="I96" s="206">
        <v>-0.1</v>
      </c>
      <c r="J96" s="191">
        <f>+I96</f>
        <v>-0.1</v>
      </c>
      <c r="K96" s="191">
        <f t="shared" ref="K96:N96" si="63">+J96</f>
        <v>-0.1</v>
      </c>
      <c r="L96" s="191">
        <f t="shared" si="63"/>
        <v>-0.1</v>
      </c>
      <c r="M96" s="191">
        <f t="shared" si="63"/>
        <v>-0.1</v>
      </c>
      <c r="N96" s="191">
        <f t="shared" si="63"/>
        <v>-0.1</v>
      </c>
    </row>
    <row r="97" spans="3:14" outlineLevel="1" x14ac:dyDescent="0.3">
      <c r="C97" s="119" t="s">
        <v>186</v>
      </c>
      <c r="D97" s="80" t="s">
        <v>74</v>
      </c>
      <c r="E97" s="153">
        <f t="shared" ref="E97:G97" si="64">SUM(E93:E96)</f>
        <v>-0.70899999999999996</v>
      </c>
      <c r="F97" s="153">
        <f t="shared" si="64"/>
        <v>-2.9969999999999999</v>
      </c>
      <c r="G97" s="153">
        <f t="shared" si="64"/>
        <v>-27.388000000000002</v>
      </c>
      <c r="H97" s="153">
        <f>SUM(H93:H96)</f>
        <v>-38.400000000000006</v>
      </c>
      <c r="I97" s="153">
        <f>SUM(I93:I96)</f>
        <v>-54.000000000000007</v>
      </c>
      <c r="J97" s="153">
        <f ca="1">SUM(J93:J96)</f>
        <v>-71.562001147982301</v>
      </c>
      <c r="K97" s="153">
        <f t="shared" ref="K97:N97" ca="1" si="65">SUM(K93:K96)</f>
        <v>-87.014399485098892</v>
      </c>
      <c r="L97" s="153">
        <f t="shared" ca="1" si="65"/>
        <v>-111.42313057416365</v>
      </c>
      <c r="M97" s="153">
        <f t="shared" ca="1" si="65"/>
        <v>-138.26814423025201</v>
      </c>
      <c r="N97" s="153">
        <f t="shared" ca="1" si="65"/>
        <v>-165.15306624891073</v>
      </c>
    </row>
    <row r="98" spans="3:14" outlineLevel="1" x14ac:dyDescent="0.3"/>
    <row r="99" spans="3:14" outlineLevel="1" x14ac:dyDescent="0.3">
      <c r="C99" s="110" t="s">
        <v>390</v>
      </c>
    </row>
    <row r="100" spans="3:14" outlineLevel="1" x14ac:dyDescent="0.3">
      <c r="C100" s="26" t="s">
        <v>385</v>
      </c>
      <c r="D100" s="80" t="s">
        <v>74</v>
      </c>
      <c r="E100" s="154" t="s">
        <v>272</v>
      </c>
      <c r="F100" s="154" t="s">
        <v>272</v>
      </c>
      <c r="G100" s="154">
        <v>519.79999999999995</v>
      </c>
      <c r="H100" s="154">
        <v>862.7</v>
      </c>
      <c r="I100" s="206">
        <v>1505.7</v>
      </c>
      <c r="J100" s="118">
        <f>+J$102*J104</f>
        <v>1882.6785141224323</v>
      </c>
      <c r="K100" s="118">
        <f t="shared" ref="K100:N100" si="66">+K$102*K104</f>
        <v>2143.8274691764341</v>
      </c>
      <c r="L100" s="118">
        <f t="shared" si="66"/>
        <v>2610.7842585976873</v>
      </c>
      <c r="M100" s="118">
        <f t="shared" si="66"/>
        <v>3078.7801159485289</v>
      </c>
      <c r="N100" s="118">
        <f t="shared" si="66"/>
        <v>3470.5869606844299</v>
      </c>
    </row>
    <row r="101" spans="3:14" outlineLevel="1" x14ac:dyDescent="0.3">
      <c r="C101" s="26" t="s">
        <v>386</v>
      </c>
      <c r="D101" s="80" t="s">
        <v>74</v>
      </c>
      <c r="E101" s="154" t="s">
        <v>272</v>
      </c>
      <c r="F101" s="154" t="s">
        <v>272</v>
      </c>
      <c r="G101" s="154">
        <v>169.5</v>
      </c>
      <c r="H101" s="154">
        <v>313.3</v>
      </c>
      <c r="I101" s="206">
        <v>522.70000000000005</v>
      </c>
      <c r="J101" s="118">
        <f t="shared" ref="J101:N101" si="67">+J$102*J105</f>
        <v>627.55950470747746</v>
      </c>
      <c r="K101" s="118">
        <f t="shared" si="67"/>
        <v>714.60915639214466</v>
      </c>
      <c r="L101" s="118">
        <f t="shared" si="67"/>
        <v>870.2614195325624</v>
      </c>
      <c r="M101" s="118">
        <f t="shared" si="67"/>
        <v>1026.2600386495096</v>
      </c>
      <c r="N101" s="118">
        <f t="shared" si="67"/>
        <v>1156.8623202281433</v>
      </c>
    </row>
    <row r="102" spans="3:14" outlineLevel="1" x14ac:dyDescent="0.3">
      <c r="C102" s="119" t="s">
        <v>387</v>
      </c>
      <c r="D102" s="138"/>
      <c r="E102" s="120"/>
      <c r="F102" s="120"/>
      <c r="G102" s="165">
        <f t="shared" ref="G102:H102" si="68">SUM(G100:G101)</f>
        <v>689.3</v>
      </c>
      <c r="H102" s="165">
        <f t="shared" si="68"/>
        <v>1176</v>
      </c>
      <c r="I102" s="165">
        <f>SUM(I100:I101)</f>
        <v>2028.4</v>
      </c>
      <c r="J102" s="165">
        <f>AVERAGE(I86,J86)</f>
        <v>2510.2380188299098</v>
      </c>
      <c r="K102" s="165">
        <f t="shared" ref="K102:N102" si="69">AVERAGE(J86,K86)</f>
        <v>2858.4366255685786</v>
      </c>
      <c r="L102" s="165">
        <f t="shared" si="69"/>
        <v>3481.0456781302496</v>
      </c>
      <c r="M102" s="165">
        <f t="shared" si="69"/>
        <v>4105.0401545980385</v>
      </c>
      <c r="N102" s="165">
        <f t="shared" si="69"/>
        <v>4627.4492809125732</v>
      </c>
    </row>
    <row r="103" spans="3:14" outlineLevel="1" x14ac:dyDescent="0.3"/>
    <row r="104" spans="3:14" outlineLevel="1" x14ac:dyDescent="0.3">
      <c r="C104" s="26" t="s">
        <v>388</v>
      </c>
      <c r="D104" s="80" t="s">
        <v>84</v>
      </c>
      <c r="G104" s="18">
        <f>+G100/G$102</f>
        <v>0.75409836065573765</v>
      </c>
      <c r="H104" s="18">
        <f t="shared" ref="H104:I104" si="70">+H100/H$102</f>
        <v>0.73358843537414975</v>
      </c>
      <c r="I104" s="66">
        <f t="shared" si="70"/>
        <v>0.74230920922894894</v>
      </c>
      <c r="J104" s="143">
        <v>0.75</v>
      </c>
      <c r="K104" s="192">
        <f>+J104</f>
        <v>0.75</v>
      </c>
      <c r="L104" s="192">
        <f t="shared" ref="L104:N104" si="71">+K104</f>
        <v>0.75</v>
      </c>
      <c r="M104" s="192">
        <f t="shared" si="71"/>
        <v>0.75</v>
      </c>
      <c r="N104" s="192">
        <f t="shared" si="71"/>
        <v>0.75</v>
      </c>
    </row>
    <row r="105" spans="3:14" outlineLevel="1" x14ac:dyDescent="0.3">
      <c r="C105" s="26" t="s">
        <v>389</v>
      </c>
      <c r="D105" s="80" t="s">
        <v>84</v>
      </c>
      <c r="G105" s="18">
        <f t="shared" ref="G105:I105" si="72">+G101/G$102</f>
        <v>0.24590163934426232</v>
      </c>
      <c r="H105" s="18">
        <f t="shared" si="72"/>
        <v>0.26641156462585036</v>
      </c>
      <c r="I105" s="66">
        <f t="shared" si="72"/>
        <v>0.25769079077105106</v>
      </c>
      <c r="J105" s="192">
        <f>1-J104</f>
        <v>0.25</v>
      </c>
      <c r="K105" s="192">
        <f t="shared" ref="K105:N105" si="73">+J105</f>
        <v>0.25</v>
      </c>
      <c r="L105" s="192">
        <f t="shared" si="73"/>
        <v>0.25</v>
      </c>
      <c r="M105" s="192">
        <f t="shared" si="73"/>
        <v>0.25</v>
      </c>
      <c r="N105" s="192">
        <f t="shared" si="73"/>
        <v>0.25</v>
      </c>
    </row>
    <row r="106" spans="3:14" outlineLevel="1" x14ac:dyDescent="0.3"/>
    <row r="107" spans="3:14" outlineLevel="1" x14ac:dyDescent="0.3">
      <c r="C107" s="110" t="s">
        <v>184</v>
      </c>
    </row>
    <row r="108" spans="3:14" outlineLevel="1" x14ac:dyDescent="0.3">
      <c r="C108" s="26" t="str">
        <f>+$C$100</f>
        <v>Fixed-Rate Deposits:</v>
      </c>
      <c r="D108" s="80" t="s">
        <v>84</v>
      </c>
      <c r="E108" s="18"/>
      <c r="F108" s="18">
        <f>IFERROR(-F93/AVERAGE(E86,F86),0)</f>
        <v>2.8529271775345075E-2</v>
      </c>
      <c r="G108" s="18">
        <f t="shared" ref="G108:I108" si="74">IFERROR(-G93/AVERAGE(F86,G86),0)</f>
        <v>4.9611448238384204E-2</v>
      </c>
      <c r="H108" s="18">
        <f t="shared" si="74"/>
        <v>3.1591737545565012E-2</v>
      </c>
      <c r="I108" s="66">
        <f t="shared" si="74"/>
        <v>2.5849639546858909E-2</v>
      </c>
      <c r="J108" s="143">
        <v>2.5999999999999999E-2</v>
      </c>
      <c r="K108" s="143">
        <v>2.7E-2</v>
      </c>
      <c r="L108" s="143">
        <v>2.8000000000000001E-2</v>
      </c>
      <c r="M108" s="143">
        <v>2.9000000000000001E-2</v>
      </c>
      <c r="N108" s="143">
        <v>0.03</v>
      </c>
    </row>
    <row r="109" spans="3:14" outlineLevel="1" x14ac:dyDescent="0.3">
      <c r="C109" s="26" t="str">
        <f>+$C$101</f>
        <v>Variable-Rate Deposits:</v>
      </c>
      <c r="D109" s="80" t="s">
        <v>84</v>
      </c>
      <c r="E109" s="18"/>
      <c r="F109" s="18">
        <f>+F108</f>
        <v>2.8529271775345075E-2</v>
      </c>
      <c r="G109" s="18">
        <f t="shared" ref="G109:I109" si="75">+G108</f>
        <v>4.9611448238384204E-2</v>
      </c>
      <c r="H109" s="18">
        <f t="shared" si="75"/>
        <v>3.1591737545565012E-2</v>
      </c>
      <c r="I109" s="66">
        <f t="shared" si="75"/>
        <v>2.5849639546858909E-2</v>
      </c>
      <c r="J109" s="18">
        <f>+J$24+J116</f>
        <v>2.8500000000000001E-2</v>
      </c>
      <c r="K109" s="18">
        <f t="shared" ref="K109:N110" si="76">+K$24+K116</f>
        <v>3.2500000000000001E-2</v>
      </c>
      <c r="L109" s="18">
        <f t="shared" si="76"/>
        <v>3.5500000000000004E-2</v>
      </c>
      <c r="M109" s="18">
        <f t="shared" si="76"/>
        <v>3.85E-2</v>
      </c>
      <c r="N109" s="18">
        <f t="shared" si="76"/>
        <v>4.2500000000000003E-2</v>
      </c>
    </row>
    <row r="110" spans="3:14" outlineLevel="1" x14ac:dyDescent="0.3">
      <c r="C110" s="26" t="str">
        <f>+$C$286</f>
        <v>Due to Banks:</v>
      </c>
      <c r="D110" s="80" t="s">
        <v>84</v>
      </c>
      <c r="E110" s="18"/>
      <c r="F110" s="18">
        <f>IFERROR(-F94/AVERAGE(E87,F87),0)</f>
        <v>0</v>
      </c>
      <c r="G110" s="18">
        <f t="shared" ref="G110:I110" si="77">IFERROR(-G94/AVERAGE(F87,G87),0)</f>
        <v>0</v>
      </c>
      <c r="H110" s="18">
        <f t="shared" si="77"/>
        <v>1.6260162601626015E-2</v>
      </c>
      <c r="I110" s="66">
        <f t="shared" si="77"/>
        <v>1.5243902439024392E-2</v>
      </c>
      <c r="J110" s="18">
        <f>+J$24+J117</f>
        <v>1.6727032520325202E-2</v>
      </c>
      <c r="K110" s="18">
        <f t="shared" si="76"/>
        <v>1.9727032520325202E-2</v>
      </c>
      <c r="L110" s="18">
        <f t="shared" si="76"/>
        <v>2.1727032520325203E-2</v>
      </c>
      <c r="M110" s="18">
        <f t="shared" si="76"/>
        <v>2.3727032520325202E-2</v>
      </c>
      <c r="N110" s="18">
        <f t="shared" si="76"/>
        <v>2.6727032520325204E-2</v>
      </c>
    </row>
    <row r="111" spans="3:14" outlineLevel="1" x14ac:dyDescent="0.3">
      <c r="C111" s="26" t="str">
        <f>+$C$287</f>
        <v>Subordinated Notes:</v>
      </c>
      <c r="D111" s="81" t="s">
        <v>84</v>
      </c>
      <c r="E111" s="199"/>
      <c r="F111" s="199">
        <f>IFERROR(-F95/AVERAGE(E88,F88),0)</f>
        <v>0</v>
      </c>
      <c r="G111" s="199">
        <f t="shared" ref="G111:I111" si="78">IFERROR(-G95/AVERAGE(F88,G88),0)</f>
        <v>0</v>
      </c>
      <c r="H111" s="199">
        <f t="shared" si="78"/>
        <v>3.6231884057971016E-2</v>
      </c>
      <c r="I111" s="207">
        <f t="shared" si="78"/>
        <v>0.1095890410958904</v>
      </c>
      <c r="J111" s="323">
        <v>0.11</v>
      </c>
      <c r="K111" s="324">
        <f>+J111</f>
        <v>0.11</v>
      </c>
      <c r="L111" s="324">
        <f t="shared" ref="L111:N111" si="79">+K111</f>
        <v>0.11</v>
      </c>
      <c r="M111" s="324">
        <f t="shared" si="79"/>
        <v>0.11</v>
      </c>
      <c r="N111" s="324">
        <f t="shared" si="79"/>
        <v>0.11</v>
      </c>
    </row>
    <row r="112" spans="3:14" outlineLevel="1" x14ac:dyDescent="0.3">
      <c r="C112" s="119" t="s">
        <v>186</v>
      </c>
      <c r="D112" s="80" t="s">
        <v>84</v>
      </c>
      <c r="E112" s="66"/>
      <c r="F112" s="66">
        <f>-F97/F90</f>
        <v>2.7866108786610874E-2</v>
      </c>
      <c r="G112" s="66">
        <f t="shared" ref="G112:N112" si="80">-G97/G90</f>
        <v>4.9611448238384204E-2</v>
      </c>
      <c r="H112" s="66">
        <f t="shared" si="80"/>
        <v>3.1489605969904473E-2</v>
      </c>
      <c r="I112" s="66">
        <f t="shared" si="80"/>
        <v>2.6946107784431142E-2</v>
      </c>
      <c r="J112" s="66">
        <f t="shared" ca="1" si="80"/>
        <v>2.7500089740942105E-2</v>
      </c>
      <c r="K112" s="66">
        <f t="shared" ca="1" si="80"/>
        <v>2.9226710592830305E-2</v>
      </c>
      <c r="L112" s="66">
        <f t="shared" ca="1" si="80"/>
        <v>3.064782895947827E-2</v>
      </c>
      <c r="M112" s="66">
        <f t="shared" ca="1" si="80"/>
        <v>3.208381414213661E-2</v>
      </c>
      <c r="N112" s="66">
        <f t="shared" ca="1" si="80"/>
        <v>3.3845211460618266E-2</v>
      </c>
    </row>
    <row r="113" spans="2:27" outlineLevel="1" x14ac:dyDescent="0.3"/>
    <row r="114" spans="2:27" outlineLevel="1" x14ac:dyDescent="0.3">
      <c r="C114" s="31" t="s">
        <v>185</v>
      </c>
    </row>
    <row r="115" spans="2:27" outlineLevel="1" x14ac:dyDescent="0.3">
      <c r="C115" s="26" t="str">
        <f>+$C$100</f>
        <v>Fixed-Rate Deposits:</v>
      </c>
      <c r="D115" s="80" t="s">
        <v>84</v>
      </c>
      <c r="E115" s="18"/>
      <c r="F115" s="18"/>
      <c r="G115" s="18"/>
      <c r="H115" s="18"/>
      <c r="I115" s="66"/>
      <c r="J115" s="56" t="s">
        <v>272</v>
      </c>
      <c r="K115" s="56" t="s">
        <v>272</v>
      </c>
      <c r="L115" s="56" t="s">
        <v>272</v>
      </c>
      <c r="M115" s="56" t="s">
        <v>272</v>
      </c>
      <c r="N115" s="56" t="s">
        <v>272</v>
      </c>
    </row>
    <row r="116" spans="2:27" outlineLevel="1" x14ac:dyDescent="0.3">
      <c r="C116" s="26" t="str">
        <f>+$C$101</f>
        <v>Variable-Rate Deposits:</v>
      </c>
      <c r="D116" s="80" t="s">
        <v>84</v>
      </c>
      <c r="E116" s="18"/>
      <c r="F116" s="18">
        <f>IFERROR(+F109-F$24,"N/A")</f>
        <v>2.5229271775345074E-2</v>
      </c>
      <c r="G116" s="18">
        <f t="shared" ref="G116:I116" si="81">IFERROR(+G109-G$24,"N/A")</f>
        <v>4.4911448238384201E-2</v>
      </c>
      <c r="H116" s="18">
        <f t="shared" si="81"/>
        <v>2.8841737545565013E-2</v>
      </c>
      <c r="I116" s="66">
        <f t="shared" si="81"/>
        <v>2.354963954685891E-2</v>
      </c>
      <c r="J116" s="56">
        <v>2.5000000000000001E-2</v>
      </c>
      <c r="K116" s="56">
        <v>2.5999999999999999E-2</v>
      </c>
      <c r="L116" s="56">
        <v>2.7E-2</v>
      </c>
      <c r="M116" s="56">
        <v>2.8000000000000001E-2</v>
      </c>
      <c r="N116" s="56">
        <v>2.9000000000000001E-2</v>
      </c>
    </row>
    <row r="117" spans="2:27" outlineLevel="1" x14ac:dyDescent="0.3">
      <c r="C117" s="26" t="str">
        <f>+$C$286</f>
        <v>Due to Banks:</v>
      </c>
      <c r="D117" s="80" t="s">
        <v>84</v>
      </c>
      <c r="E117" s="18"/>
      <c r="F117" s="18"/>
      <c r="G117" s="18"/>
      <c r="H117" s="18">
        <f t="shared" ref="H117:N119" si="82">IFERROR(+H110-H$24,"N/A")</f>
        <v>1.3510162601626016E-2</v>
      </c>
      <c r="I117" s="66">
        <f t="shared" si="82"/>
        <v>1.2943902439024392E-2</v>
      </c>
      <c r="J117" s="203">
        <f>AVERAGE(H117,I117)</f>
        <v>1.3227032520325203E-2</v>
      </c>
      <c r="K117" s="203">
        <f>+J117</f>
        <v>1.3227032520325203E-2</v>
      </c>
      <c r="L117" s="203">
        <f t="shared" ref="L117:N117" si="83">+K117</f>
        <v>1.3227032520325203E-2</v>
      </c>
      <c r="M117" s="203">
        <f t="shared" si="83"/>
        <v>1.3227032520325203E-2</v>
      </c>
      <c r="N117" s="203">
        <f t="shared" si="83"/>
        <v>1.3227032520325203E-2</v>
      </c>
    </row>
    <row r="118" spans="2:27" outlineLevel="1" x14ac:dyDescent="0.3">
      <c r="C118" s="26" t="str">
        <f>+$C$287</f>
        <v>Subordinated Notes:</v>
      </c>
      <c r="D118" s="81" t="s">
        <v>84</v>
      </c>
      <c r="E118" s="199"/>
      <c r="F118" s="199"/>
      <c r="G118" s="199"/>
      <c r="H118" s="199">
        <f t="shared" si="82"/>
        <v>3.3481884057971013E-2</v>
      </c>
      <c r="I118" s="207">
        <f t="shared" si="82"/>
        <v>0.10728904109589041</v>
      </c>
      <c r="J118" s="49" t="s">
        <v>272</v>
      </c>
      <c r="K118" s="49" t="s">
        <v>272</v>
      </c>
      <c r="L118" s="49" t="s">
        <v>272</v>
      </c>
      <c r="M118" s="49" t="s">
        <v>272</v>
      </c>
      <c r="N118" s="49" t="s">
        <v>272</v>
      </c>
    </row>
    <row r="119" spans="2:27" outlineLevel="1" x14ac:dyDescent="0.3">
      <c r="C119" s="119" t="s">
        <v>186</v>
      </c>
      <c r="D119" s="80" t="s">
        <v>84</v>
      </c>
      <c r="E119" s="66"/>
      <c r="F119" s="66">
        <f>IFERROR(+F112-F$24,"N/A")</f>
        <v>2.4566108786610873E-2</v>
      </c>
      <c r="G119" s="66">
        <f>IFERROR(+G112-G$24,"N/A")</f>
        <v>4.4911448238384201E-2</v>
      </c>
      <c r="H119" s="66">
        <f t="shared" si="82"/>
        <v>2.8739605969904474E-2</v>
      </c>
      <c r="I119" s="66">
        <f>IFERROR(+I112-I$24,"N/A")</f>
        <v>2.4646107784431142E-2</v>
      </c>
      <c r="J119" s="66">
        <f t="shared" ca="1" si="82"/>
        <v>2.4000089740942105E-2</v>
      </c>
      <c r="K119" s="66">
        <f t="shared" ca="1" si="82"/>
        <v>2.2726710592830306E-2</v>
      </c>
      <c r="L119" s="66">
        <f t="shared" ca="1" si="82"/>
        <v>2.2147828959478269E-2</v>
      </c>
      <c r="M119" s="66">
        <f t="shared" ca="1" si="82"/>
        <v>2.1583814142136608E-2</v>
      </c>
      <c r="N119" s="66">
        <f t="shared" ca="1" si="82"/>
        <v>2.0345211460618268E-2</v>
      </c>
    </row>
    <row r="121" spans="2:27" x14ac:dyDescent="0.3">
      <c r="B121" s="21"/>
      <c r="C121" s="103"/>
      <c r="D121" s="104"/>
      <c r="E121" s="20" t="str">
        <f>+Loans!$E$65</f>
        <v>Historical</v>
      </c>
      <c r="F121" s="20"/>
      <c r="G121" s="20"/>
      <c r="H121" s="20"/>
      <c r="I121" s="20"/>
      <c r="J121" s="22" t="str">
        <f>+Loans!$J$65</f>
        <v>Projected</v>
      </c>
      <c r="K121" s="20"/>
      <c r="L121" s="20"/>
      <c r="M121" s="20"/>
      <c r="N121" s="20"/>
    </row>
    <row r="122" spans="2:27" x14ac:dyDescent="0.3">
      <c r="B122" s="83" t="s">
        <v>127</v>
      </c>
      <c r="C122" s="83"/>
      <c r="D122" s="85" t="str">
        <f>+Loans!$D$6</f>
        <v>Units:</v>
      </c>
      <c r="E122" s="89">
        <f>Loans!$E$6</f>
        <v>40543</v>
      </c>
      <c r="F122" s="89">
        <f>Loans!$F$6</f>
        <v>40908</v>
      </c>
      <c r="G122" s="89">
        <f>Loans!$G$6</f>
        <v>41274</v>
      </c>
      <c r="H122" s="89">
        <f>Loans!$H$6</f>
        <v>41639</v>
      </c>
      <c r="I122" s="90">
        <f>Loans!$I$6</f>
        <v>42004</v>
      </c>
      <c r="J122" s="89">
        <f>Loans!$J$6</f>
        <v>42369</v>
      </c>
      <c r="K122" s="89">
        <f>Loans!$K$6</f>
        <v>42735</v>
      </c>
      <c r="L122" s="89">
        <f>Loans!$L$6</f>
        <v>43100</v>
      </c>
      <c r="M122" s="89">
        <f>Loans!$M$6</f>
        <v>43465</v>
      </c>
      <c r="N122" s="89">
        <f>Loans!$N$6</f>
        <v>43830</v>
      </c>
    </row>
    <row r="123" spans="2:27" outlineLevel="1" x14ac:dyDescent="0.3">
      <c r="B123" s="106" t="s">
        <v>225</v>
      </c>
      <c r="C123" s="106"/>
      <c r="D123" s="166"/>
      <c r="E123" s="107"/>
      <c r="F123" s="107"/>
      <c r="G123" s="107"/>
      <c r="H123" s="107"/>
      <c r="I123" s="106"/>
      <c r="J123" s="107"/>
      <c r="K123" s="107"/>
      <c r="L123" s="107"/>
      <c r="M123" s="107"/>
      <c r="N123" s="107"/>
      <c r="O123" s="42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17"/>
    </row>
    <row r="124" spans="2:27" outlineLevel="1" x14ac:dyDescent="0.3">
      <c r="C124" s="30" t="s">
        <v>209</v>
      </c>
      <c r="D124" s="80" t="s">
        <v>84</v>
      </c>
      <c r="E124" s="142" t="str">
        <f>IFERROR(+E233/Loans!E115,"N/A")</f>
        <v>N/A</v>
      </c>
      <c r="F124" s="142">
        <f>IFERROR(+F233/Loans!F115,"N/A")</f>
        <v>8.9285714285714281E-3</v>
      </c>
      <c r="G124" s="142">
        <f>IFERROR(+G233/Loans!G115,"N/A")</f>
        <v>1.1641443538998836E-3</v>
      </c>
      <c r="H124" s="142">
        <f>IFERROR(+H233/Loans!H115,"N/A")</f>
        <v>7.6179593391420271E-4</v>
      </c>
      <c r="I124" s="310">
        <f>IFERROR(+I233/Loans!I115,"N/A")</f>
        <v>4.166438243517351E-3</v>
      </c>
      <c r="J124" s="216">
        <v>4.0000000000000001E-3</v>
      </c>
      <c r="K124" s="217">
        <f>+J124</f>
        <v>4.0000000000000001E-3</v>
      </c>
      <c r="L124" s="217">
        <f t="shared" ref="L124:N124" si="84">+K124</f>
        <v>4.0000000000000001E-3</v>
      </c>
      <c r="M124" s="217">
        <f t="shared" si="84"/>
        <v>4.0000000000000001E-3</v>
      </c>
      <c r="N124" s="217">
        <f t="shared" si="84"/>
        <v>4.0000000000000001E-3</v>
      </c>
      <c r="O124" s="42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A124" s="317"/>
    </row>
    <row r="125" spans="2:27" outlineLevel="1" x14ac:dyDescent="0.3">
      <c r="C125" s="30" t="s">
        <v>210</v>
      </c>
      <c r="D125" s="80" t="s">
        <v>84</v>
      </c>
      <c r="E125" s="142" t="str">
        <f>IFERROR(-E234/Loans!E115,"N/A")</f>
        <v>N/A</v>
      </c>
      <c r="F125" s="142">
        <f>IFERROR(-F234/Loans!F115,"N/A")</f>
        <v>2.976190476190476E-3</v>
      </c>
      <c r="G125" s="142">
        <f>IFERROR(-G234/Loans!G115,"N/A")</f>
        <v>4.6565774155995343E-4</v>
      </c>
      <c r="H125" s="142">
        <f>IFERROR(-H234/Loans!H115,"N/A")</f>
        <v>0</v>
      </c>
      <c r="I125" s="310">
        <f>IFERROR(-I234/Loans!I115,"N/A")</f>
        <v>9.3196644920782849E-4</v>
      </c>
      <c r="J125" s="143">
        <v>1E-3</v>
      </c>
      <c r="K125" s="192">
        <f t="shared" ref="K125:N125" si="85">+J125</f>
        <v>1E-3</v>
      </c>
      <c r="L125" s="192">
        <f t="shared" si="85"/>
        <v>1E-3</v>
      </c>
      <c r="M125" s="192">
        <f t="shared" si="85"/>
        <v>1E-3</v>
      </c>
      <c r="N125" s="192">
        <f t="shared" si="85"/>
        <v>1E-3</v>
      </c>
      <c r="O125" s="42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A125" s="317"/>
    </row>
    <row r="126" spans="2:27" outlineLevel="1" x14ac:dyDescent="0.3"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A126" s="317"/>
    </row>
    <row r="127" spans="2:27" s="42" customFormat="1" outlineLevel="1" x14ac:dyDescent="0.3">
      <c r="B127" s="41"/>
      <c r="C127" s="30" t="s">
        <v>211</v>
      </c>
      <c r="D127" s="80" t="s">
        <v>84</v>
      </c>
      <c r="E127" s="145" t="str">
        <f t="shared" ref="E127:I128" si="86">IFERROR(+E227/D227-1,"N/A")</f>
        <v>N/A</v>
      </c>
      <c r="F127" s="145" t="str">
        <f t="shared" si="86"/>
        <v>N/A</v>
      </c>
      <c r="G127" s="145" t="str">
        <f t="shared" si="86"/>
        <v>N/A</v>
      </c>
      <c r="H127" s="145">
        <f t="shared" si="86"/>
        <v>0.13245033112582782</v>
      </c>
      <c r="I127" s="311">
        <f>IFERROR(+I227/H227-1,"N/A")</f>
        <v>-8.1871345029239873E-2</v>
      </c>
      <c r="J127" s="143">
        <v>0.05</v>
      </c>
      <c r="K127" s="143">
        <v>0.05</v>
      </c>
      <c r="L127" s="143">
        <v>0.05</v>
      </c>
      <c r="M127" s="143">
        <v>0.05</v>
      </c>
      <c r="N127" s="143">
        <v>0.04</v>
      </c>
      <c r="O127" s="5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A127" s="317"/>
    </row>
    <row r="128" spans="2:27" s="42" customFormat="1" outlineLevel="1" x14ac:dyDescent="0.3">
      <c r="B128" s="41"/>
      <c r="C128" s="30" t="s">
        <v>212</v>
      </c>
      <c r="D128" s="80" t="s">
        <v>84</v>
      </c>
      <c r="E128" s="145" t="str">
        <f t="shared" si="86"/>
        <v>N/A</v>
      </c>
      <c r="F128" s="145" t="str">
        <f t="shared" si="86"/>
        <v>N/A</v>
      </c>
      <c r="G128" s="145" t="str">
        <f t="shared" si="86"/>
        <v>N/A</v>
      </c>
      <c r="H128" s="145">
        <f t="shared" si="86"/>
        <v>2.666666666666667</v>
      </c>
      <c r="I128" s="311">
        <f t="shared" si="86"/>
        <v>0</v>
      </c>
      <c r="J128" s="143">
        <v>0.05</v>
      </c>
      <c r="K128" s="143">
        <v>0.05</v>
      </c>
      <c r="L128" s="143">
        <v>0.05</v>
      </c>
      <c r="M128" s="143">
        <v>0.05</v>
      </c>
      <c r="N128" s="143">
        <v>0.04</v>
      </c>
      <c r="O128" s="5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</row>
    <row r="129" spans="2:27" s="42" customFormat="1" outlineLevel="1" x14ac:dyDescent="0.3">
      <c r="B129" s="41"/>
      <c r="C129" s="30" t="s">
        <v>213</v>
      </c>
      <c r="D129" s="80" t="s">
        <v>84</v>
      </c>
      <c r="E129" s="145" t="str">
        <f>IFERROR(-E229/E227,"N/A")</f>
        <v>N/A</v>
      </c>
      <c r="F129" s="145" t="str">
        <f t="shared" ref="F129:I129" si="87">IFERROR(-F229/F227,"N/A")</f>
        <v>N/A</v>
      </c>
      <c r="G129" s="145">
        <f t="shared" si="87"/>
        <v>0.80132450331125826</v>
      </c>
      <c r="H129" s="145">
        <f t="shared" si="87"/>
        <v>0.80701754385964908</v>
      </c>
      <c r="I129" s="311">
        <f t="shared" si="87"/>
        <v>0.83439490445859876</v>
      </c>
      <c r="J129" s="192">
        <f>AVERAGE(G129:I129)</f>
        <v>0.81424565054316866</v>
      </c>
      <c r="K129" s="192">
        <f>+J129</f>
        <v>0.81424565054316866</v>
      </c>
      <c r="L129" s="192">
        <f t="shared" ref="L129:N129" si="88">+K129</f>
        <v>0.81424565054316866</v>
      </c>
      <c r="M129" s="192">
        <f t="shared" si="88"/>
        <v>0.81424565054316866</v>
      </c>
      <c r="N129" s="192">
        <f t="shared" si="88"/>
        <v>0.81424565054316866</v>
      </c>
      <c r="O129" s="5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</row>
    <row r="130" spans="2:27" s="42" customFormat="1" outlineLevel="1" x14ac:dyDescent="0.3">
      <c r="B130" s="41"/>
      <c r="C130" s="26"/>
      <c r="D130" s="80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5"/>
      <c r="P130" s="317"/>
      <c r="Q130" s="317"/>
      <c r="R130" s="317"/>
      <c r="S130" s="317"/>
      <c r="T130" s="317"/>
      <c r="U130" s="317"/>
      <c r="V130" s="317"/>
      <c r="W130" s="317"/>
      <c r="X130" s="317"/>
      <c r="Y130" s="317"/>
      <c r="Z130" s="317"/>
      <c r="AA130" s="317"/>
    </row>
    <row r="131" spans="2:27" outlineLevel="1" x14ac:dyDescent="0.3">
      <c r="B131" s="106" t="s">
        <v>28</v>
      </c>
      <c r="C131" s="106"/>
      <c r="D131" s="166"/>
      <c r="E131" s="107"/>
      <c r="F131" s="107"/>
      <c r="G131" s="107"/>
      <c r="H131" s="107"/>
      <c r="I131" s="106"/>
      <c r="J131" s="107"/>
      <c r="K131" s="107"/>
      <c r="L131" s="107"/>
      <c r="M131" s="107"/>
      <c r="N131" s="10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</row>
    <row r="132" spans="2:27" s="42" customFormat="1" outlineLevel="1" x14ac:dyDescent="0.3">
      <c r="B132" s="41"/>
      <c r="C132" s="30" t="s">
        <v>215</v>
      </c>
      <c r="D132" s="80" t="s">
        <v>216</v>
      </c>
      <c r="E132" s="218">
        <v>19</v>
      </c>
      <c r="F132" s="218">
        <v>71</v>
      </c>
      <c r="G132" s="218">
        <v>179</v>
      </c>
      <c r="H132" s="218">
        <v>281</v>
      </c>
      <c r="I132" s="312">
        <v>414</v>
      </c>
      <c r="J132" s="219">
        <f ca="1">+J239/J133*Units*Units</f>
        <v>429.91974565398374</v>
      </c>
      <c r="K132" s="219">
        <f ca="1">+K239/K133*Units*Units</f>
        <v>449.54504285750482</v>
      </c>
      <c r="L132" s="219">
        <f ca="1">+L239/L133*Units*Units</f>
        <v>475.55031616777467</v>
      </c>
      <c r="M132" s="219">
        <f ca="1">+M239/M133*Units*Units</f>
        <v>508.07760400801948</v>
      </c>
      <c r="N132" s="219">
        <f ca="1">+N239/N133*Units*Units</f>
        <v>517.24770098148656</v>
      </c>
      <c r="O132" s="5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</row>
    <row r="133" spans="2:27" s="42" customFormat="1" outlineLevel="1" x14ac:dyDescent="0.3">
      <c r="B133" s="41"/>
      <c r="C133" s="30" t="s">
        <v>217</v>
      </c>
      <c r="D133" s="80" t="s">
        <v>383</v>
      </c>
      <c r="E133" s="307">
        <f>+E239/E132*Units*Units</f>
        <v>64736.842105263167</v>
      </c>
      <c r="F133" s="307">
        <f>+F239/F132*Units*Units</f>
        <v>31028.169014084506</v>
      </c>
      <c r="G133" s="307">
        <f>+G239/G132*Units*Units</f>
        <v>137497.20670391063</v>
      </c>
      <c r="H133" s="307">
        <f>+H239/H132*Units*Units</f>
        <v>213879.00355871883</v>
      </c>
      <c r="I133" s="313">
        <f>+I239/I132*Units*Units</f>
        <v>271014.49275362323</v>
      </c>
      <c r="J133" s="325">
        <v>320000</v>
      </c>
      <c r="K133" s="325">
        <v>340000</v>
      </c>
      <c r="L133" s="325">
        <v>370000</v>
      </c>
      <c r="M133" s="325">
        <v>390000</v>
      </c>
      <c r="N133" s="325">
        <v>410000</v>
      </c>
      <c r="O133" s="5"/>
      <c r="P133" s="317"/>
      <c r="Q133" s="317"/>
      <c r="R133" s="317"/>
      <c r="S133" s="317"/>
      <c r="T133" s="317"/>
      <c r="U133" s="317"/>
      <c r="V133" s="317"/>
      <c r="W133" s="317"/>
      <c r="X133" s="317"/>
      <c r="Y133" s="317"/>
      <c r="Z133" s="317"/>
      <c r="AA133" s="317"/>
    </row>
    <row r="134" spans="2:27" s="42" customFormat="1" outlineLevel="1" x14ac:dyDescent="0.3">
      <c r="B134" s="41"/>
      <c r="C134" s="30" t="s">
        <v>218</v>
      </c>
      <c r="D134" s="80" t="s">
        <v>383</v>
      </c>
      <c r="E134" s="307">
        <f>-E246/E132*Units*Units</f>
        <v>42105.263157894733</v>
      </c>
      <c r="F134" s="307">
        <f>-F246/F132*Units*Units</f>
        <v>76056.338028169019</v>
      </c>
      <c r="G134" s="307">
        <f>-G246/G132*Units*Units</f>
        <v>87709.497206703905</v>
      </c>
      <c r="H134" s="307">
        <f>-H246/H132*Units*Units</f>
        <v>84697.508896797153</v>
      </c>
      <c r="I134" s="313">
        <f>-I246/I132*Units*Units</f>
        <v>75362.318840579712</v>
      </c>
      <c r="J134" s="325">
        <v>80000</v>
      </c>
      <c r="K134" s="325">
        <v>83000</v>
      </c>
      <c r="L134" s="325">
        <v>86000</v>
      </c>
      <c r="M134" s="325">
        <v>89000</v>
      </c>
      <c r="N134" s="325">
        <v>92000</v>
      </c>
      <c r="O134" s="5"/>
      <c r="P134" s="317"/>
      <c r="Q134" s="317"/>
      <c r="R134" s="317"/>
      <c r="S134" s="317"/>
      <c r="T134" s="317"/>
      <c r="U134" s="317"/>
      <c r="V134" s="317"/>
      <c r="W134" s="317"/>
      <c r="X134" s="317"/>
      <c r="Y134" s="317"/>
      <c r="Z134" s="317"/>
      <c r="AA134" s="317"/>
    </row>
    <row r="135" spans="2:27" s="42" customFormat="1" outlineLevel="1" x14ac:dyDescent="0.3">
      <c r="B135" s="41"/>
      <c r="C135" s="30" t="s">
        <v>166</v>
      </c>
      <c r="D135" s="80"/>
      <c r="E135" s="142">
        <f t="shared" ref="E135:N135" si="89">-E246/E$239</f>
        <v>0.65040650406504075</v>
      </c>
      <c r="F135" s="142">
        <f t="shared" si="89"/>
        <v>2.4512029051293696</v>
      </c>
      <c r="G135" s="142">
        <f t="shared" si="89"/>
        <v>0.63790021127905083</v>
      </c>
      <c r="H135" s="142">
        <f t="shared" si="89"/>
        <v>0.3960066555740433</v>
      </c>
      <c r="I135" s="310">
        <f t="shared" si="89"/>
        <v>0.27807486631016032</v>
      </c>
      <c r="J135" s="142">
        <f t="shared" ca="1" si="89"/>
        <v>0.25</v>
      </c>
      <c r="K135" s="142">
        <f t="shared" ca="1" si="89"/>
        <v>0.24411764705882352</v>
      </c>
      <c r="L135" s="142">
        <f t="shared" ca="1" si="89"/>
        <v>0.23243243243243242</v>
      </c>
      <c r="M135" s="142">
        <f t="shared" ca="1" si="89"/>
        <v>0.2282051282051282</v>
      </c>
      <c r="N135" s="142">
        <f t="shared" ca="1" si="89"/>
        <v>0.22439024390243908</v>
      </c>
      <c r="O135" s="5"/>
      <c r="P135" s="317"/>
      <c r="Q135" s="317"/>
      <c r="R135" s="317"/>
      <c r="S135" s="317"/>
      <c r="T135" s="317"/>
      <c r="U135" s="317"/>
      <c r="V135" s="317"/>
      <c r="W135" s="317"/>
      <c r="X135" s="317"/>
      <c r="Y135" s="317"/>
      <c r="Z135" s="317"/>
      <c r="AA135" s="317"/>
    </row>
    <row r="136" spans="2:27" outlineLevel="1" x14ac:dyDescent="0.3">
      <c r="P136" s="317"/>
      <c r="Q136" s="317"/>
      <c r="R136" s="317"/>
      <c r="S136" s="317"/>
      <c r="T136" s="317"/>
      <c r="U136" s="317"/>
      <c r="V136" s="317"/>
      <c r="W136" s="317"/>
      <c r="X136" s="317"/>
      <c r="Y136" s="317"/>
      <c r="Z136" s="317"/>
      <c r="AA136" s="317"/>
    </row>
    <row r="137" spans="2:27" s="42" customFormat="1" outlineLevel="1" x14ac:dyDescent="0.3">
      <c r="B137" s="41"/>
      <c r="C137" s="30" t="s">
        <v>220</v>
      </c>
      <c r="D137" s="80" t="s">
        <v>84</v>
      </c>
      <c r="E137" s="142">
        <f>-E252/E$239</f>
        <v>0.24390243902439024</v>
      </c>
      <c r="F137" s="142">
        <f>-F252/F$239</f>
        <v>2.4512029051293696</v>
      </c>
      <c r="G137" s="142">
        <f>-G252/G$239</f>
        <v>0.38192751503331712</v>
      </c>
      <c r="H137" s="142">
        <f>-H252/H$239</f>
        <v>0.24126455906821967</v>
      </c>
      <c r="I137" s="310">
        <f>-I252/I$239</f>
        <v>0.22994652406417107</v>
      </c>
      <c r="J137" s="143">
        <v>0.22500000000000001</v>
      </c>
      <c r="K137" s="143">
        <v>0.22500000000000001</v>
      </c>
      <c r="L137" s="143">
        <v>0.22</v>
      </c>
      <c r="M137" s="143">
        <v>0.22</v>
      </c>
      <c r="N137" s="143">
        <v>0.215</v>
      </c>
      <c r="O137" s="5"/>
      <c r="P137" s="317"/>
      <c r="Q137" s="317"/>
      <c r="R137" s="317"/>
      <c r="S137" s="317"/>
      <c r="T137" s="317"/>
      <c r="U137" s="317"/>
      <c r="V137" s="317"/>
      <c r="W137" s="317"/>
      <c r="X137" s="317"/>
      <c r="Y137" s="317"/>
      <c r="Z137" s="317"/>
      <c r="AA137" s="317"/>
    </row>
    <row r="138" spans="2:27" s="42" customFormat="1" outlineLevel="1" x14ac:dyDescent="0.3">
      <c r="B138" s="41"/>
      <c r="C138" s="30" t="s">
        <v>214</v>
      </c>
      <c r="D138" s="80" t="s">
        <v>84</v>
      </c>
      <c r="E138" s="145">
        <f>IFERROR(-E248/E239,"N/A")</f>
        <v>0</v>
      </c>
      <c r="F138" s="145">
        <f>IFERROR(-F248/F239,"N/A")</f>
        <v>4.5392646391284618E-2</v>
      </c>
      <c r="G138" s="145">
        <f>IFERROR(-G248/G239,"N/A")</f>
        <v>1.6252234682268815E-2</v>
      </c>
      <c r="H138" s="145">
        <f>IFERROR(-H248/H239,"N/A")</f>
        <v>1.1647254575707155E-2</v>
      </c>
      <c r="I138" s="311">
        <f>IFERROR(-I248/I239,"N/A")</f>
        <v>8.9126559714794978E-3</v>
      </c>
      <c r="J138" s="192">
        <f>AVERAGE(H138,I138)</f>
        <v>1.0279955273593325E-2</v>
      </c>
      <c r="K138" s="192">
        <f>+J138</f>
        <v>1.0279955273593325E-2</v>
      </c>
      <c r="L138" s="192">
        <f t="shared" ref="L138:N138" si="90">+K138</f>
        <v>1.0279955273593325E-2</v>
      </c>
      <c r="M138" s="192">
        <f t="shared" si="90"/>
        <v>1.0279955273593325E-2</v>
      </c>
      <c r="N138" s="192">
        <f t="shared" si="90"/>
        <v>1.0279955273593325E-2</v>
      </c>
      <c r="O138" s="5"/>
      <c r="P138" s="317"/>
      <c r="Q138" s="317"/>
      <c r="R138" s="317"/>
      <c r="S138" s="317"/>
      <c r="T138" s="317"/>
      <c r="U138" s="317"/>
      <c r="V138" s="317"/>
      <c r="W138" s="317"/>
      <c r="X138" s="317"/>
      <c r="Y138" s="317"/>
      <c r="Z138" s="317"/>
      <c r="AA138" s="317"/>
    </row>
    <row r="139" spans="2:27" s="42" customFormat="1" outlineLevel="1" x14ac:dyDescent="0.3">
      <c r="B139" s="41"/>
      <c r="C139" s="30" t="s">
        <v>144</v>
      </c>
      <c r="D139" s="80" t="s">
        <v>84</v>
      </c>
      <c r="E139" s="145">
        <f>IFERROR(-E249/E239,"N/A")</f>
        <v>0</v>
      </c>
      <c r="F139" s="145">
        <f>IFERROR(-F249/F239,"N/A")</f>
        <v>0</v>
      </c>
      <c r="G139" s="145">
        <f>IFERROR(-G249/G239,"N/A")</f>
        <v>3.6567528035104831E-2</v>
      </c>
      <c r="H139" s="145">
        <f>IFERROR(-H249/H239,"N/A")</f>
        <v>3.3277870216306162E-3</v>
      </c>
      <c r="I139" s="311">
        <f>IFERROR(-I249/I239,"N/A")</f>
        <v>3.5650623885917997E-3</v>
      </c>
      <c r="J139" s="192">
        <f t="shared" ref="J139" si="91">AVERAGE(H139,I139)</f>
        <v>3.4464247051112082E-3</v>
      </c>
      <c r="K139" s="192">
        <f t="shared" ref="K139:N139" si="92">+J139</f>
        <v>3.4464247051112082E-3</v>
      </c>
      <c r="L139" s="192">
        <f t="shared" si="92"/>
        <v>3.4464247051112082E-3</v>
      </c>
      <c r="M139" s="192">
        <f t="shared" si="92"/>
        <v>3.4464247051112082E-3</v>
      </c>
      <c r="N139" s="192">
        <f t="shared" si="92"/>
        <v>3.4464247051112082E-3</v>
      </c>
      <c r="O139" s="5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</row>
    <row r="140" spans="2:27" s="42" customFormat="1" outlineLevel="1" x14ac:dyDescent="0.3">
      <c r="B140" s="41"/>
      <c r="C140" s="30"/>
      <c r="D140" s="102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</row>
    <row r="141" spans="2:27" s="42" customFormat="1" outlineLevel="1" x14ac:dyDescent="0.3">
      <c r="B141" s="41"/>
      <c r="C141" s="30" t="s">
        <v>208</v>
      </c>
      <c r="D141" s="80" t="s">
        <v>84</v>
      </c>
      <c r="E141" s="145">
        <f>IFERROR(-E242/E239,"N/A")</f>
        <v>0</v>
      </c>
      <c r="F141" s="145">
        <f>IFERROR(-F242/F239,"N/A")</f>
        <v>4.5392646391284618E-2</v>
      </c>
      <c r="G141" s="145">
        <f>IFERROR(-G242/G239,"N/A")</f>
        <v>4.0630586705672038E-3</v>
      </c>
      <c r="H141" s="145">
        <f>IFERROR(-H242/H239,"N/A")</f>
        <v>1.1647254575707155E-2</v>
      </c>
      <c r="I141" s="311">
        <f>IFERROR(-I242/I239,"N/A")</f>
        <v>9.8039215686274491E-3</v>
      </c>
      <c r="J141" s="192">
        <f>AVERAGE(H141,I141)</f>
        <v>1.0725588072167301E-2</v>
      </c>
      <c r="K141" s="192">
        <f>+J141</f>
        <v>1.0725588072167301E-2</v>
      </c>
      <c r="L141" s="192">
        <f t="shared" ref="L141:N141" si="93">+K141</f>
        <v>1.0725588072167301E-2</v>
      </c>
      <c r="M141" s="192">
        <f t="shared" si="93"/>
        <v>1.0725588072167301E-2</v>
      </c>
      <c r="N141" s="192">
        <f t="shared" si="93"/>
        <v>1.0725588072167301E-2</v>
      </c>
      <c r="O141" s="5"/>
      <c r="P141" s="317"/>
      <c r="Q141" s="317"/>
      <c r="R141" s="317"/>
      <c r="S141" s="317"/>
      <c r="T141" s="317"/>
      <c r="U141" s="317"/>
      <c r="V141" s="317"/>
      <c r="W141" s="317"/>
      <c r="X141" s="317"/>
      <c r="Y141" s="317"/>
      <c r="Z141" s="317"/>
      <c r="AA141" s="317"/>
    </row>
    <row r="142" spans="2:27" outlineLevel="1" x14ac:dyDescent="0.3"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17"/>
    </row>
    <row r="143" spans="2:27" s="42" customFormat="1" outlineLevel="1" x14ac:dyDescent="0.3">
      <c r="B143" s="41"/>
      <c r="C143" s="30" t="s">
        <v>219</v>
      </c>
      <c r="D143" s="80" t="s">
        <v>84</v>
      </c>
      <c r="E143" s="142">
        <f>-E250/E$239</f>
        <v>8.1300813008130093E-2</v>
      </c>
      <c r="F143" s="142">
        <f t="shared" ref="F143:I143" si="94">-F250/F$239</f>
        <v>0.13617793917385385</v>
      </c>
      <c r="G143" s="142">
        <f t="shared" si="94"/>
        <v>2.844141069397042E-2</v>
      </c>
      <c r="H143" s="142">
        <f t="shared" si="94"/>
        <v>9.9833610648918467E-3</v>
      </c>
      <c r="I143" s="310">
        <f t="shared" si="94"/>
        <v>6.2388591800356481E-3</v>
      </c>
      <c r="J143" s="143">
        <v>6.0000000000000001E-3</v>
      </c>
      <c r="K143" s="143">
        <v>6.0000000000000001E-3</v>
      </c>
      <c r="L143" s="143">
        <v>5.0000000000000001E-3</v>
      </c>
      <c r="M143" s="143">
        <v>5.0000000000000001E-3</v>
      </c>
      <c r="N143" s="143">
        <v>5.0000000000000001E-3</v>
      </c>
      <c r="O143" s="5"/>
      <c r="P143" s="317"/>
      <c r="Q143" s="317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</row>
    <row r="144" spans="2:27" s="42" customFormat="1" outlineLevel="1" x14ac:dyDescent="0.3">
      <c r="B144" s="41"/>
      <c r="C144" s="30" t="s">
        <v>62</v>
      </c>
      <c r="D144" s="80" t="s">
        <v>74</v>
      </c>
      <c r="E144" s="144">
        <f>E237</f>
        <v>0</v>
      </c>
      <c r="F144" s="144">
        <f>F237</f>
        <v>0</v>
      </c>
      <c r="G144" s="144">
        <f>G237</f>
        <v>0</v>
      </c>
      <c r="H144" s="144">
        <f>H237</f>
        <v>0</v>
      </c>
      <c r="I144" s="314">
        <f>I237</f>
        <v>-0.1</v>
      </c>
      <c r="J144" s="141">
        <v>0</v>
      </c>
      <c r="K144" s="141">
        <f>+J144</f>
        <v>0</v>
      </c>
      <c r="L144" s="141">
        <f t="shared" ref="L144:N144" si="95">+K144</f>
        <v>0</v>
      </c>
      <c r="M144" s="141">
        <f t="shared" si="95"/>
        <v>0</v>
      </c>
      <c r="N144" s="141">
        <f t="shared" si="95"/>
        <v>0</v>
      </c>
      <c r="O144" s="5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</row>
    <row r="145" spans="2:28" s="42" customFormat="1" outlineLevel="1" x14ac:dyDescent="0.3">
      <c r="B145" s="41"/>
      <c r="C145" s="30" t="s">
        <v>107</v>
      </c>
      <c r="D145" s="80" t="s">
        <v>74</v>
      </c>
      <c r="E145" s="144">
        <f>+E245</f>
        <v>0</v>
      </c>
      <c r="F145" s="144">
        <f>+F245</f>
        <v>0</v>
      </c>
      <c r="G145" s="144">
        <f>+G245</f>
        <v>-2.1</v>
      </c>
      <c r="H145" s="144">
        <f>+H245</f>
        <v>0</v>
      </c>
      <c r="I145" s="314">
        <f>+I245</f>
        <v>0</v>
      </c>
      <c r="J145" s="141">
        <v>0</v>
      </c>
      <c r="K145" s="191">
        <f t="shared" ref="K145:N145" si="96">+J145</f>
        <v>0</v>
      </c>
      <c r="L145" s="191">
        <f t="shared" si="96"/>
        <v>0</v>
      </c>
      <c r="M145" s="191">
        <f t="shared" si="96"/>
        <v>0</v>
      </c>
      <c r="N145" s="191">
        <f t="shared" si="96"/>
        <v>0</v>
      </c>
      <c r="O145" s="5"/>
      <c r="P145" s="317"/>
      <c r="Q145" s="317"/>
      <c r="R145" s="317"/>
      <c r="S145" s="317"/>
      <c r="T145" s="317"/>
      <c r="U145" s="317"/>
      <c r="V145" s="317"/>
      <c r="W145" s="317"/>
      <c r="X145" s="317"/>
      <c r="Y145" s="317"/>
      <c r="Z145" s="317"/>
      <c r="AA145" s="317"/>
    </row>
    <row r="146" spans="2:28" s="42" customFormat="1" outlineLevel="1" x14ac:dyDescent="0.3">
      <c r="B146" s="41"/>
      <c r="C146" s="30" t="s">
        <v>206</v>
      </c>
      <c r="D146" s="80" t="s">
        <v>74</v>
      </c>
      <c r="E146" s="144">
        <f>+E251</f>
        <v>0</v>
      </c>
      <c r="F146" s="144">
        <f>+F251</f>
        <v>-1</v>
      </c>
      <c r="G146" s="144">
        <f>+G251</f>
        <v>0</v>
      </c>
      <c r="H146" s="144">
        <f>+H251</f>
        <v>0</v>
      </c>
      <c r="I146" s="314">
        <f>+I251</f>
        <v>0</v>
      </c>
      <c r="J146" s="141">
        <v>0</v>
      </c>
      <c r="K146" s="191">
        <f t="shared" ref="K146:N146" si="97">+J146</f>
        <v>0</v>
      </c>
      <c r="L146" s="191">
        <f t="shared" si="97"/>
        <v>0</v>
      </c>
      <c r="M146" s="191">
        <f t="shared" si="97"/>
        <v>0</v>
      </c>
      <c r="N146" s="191">
        <f t="shared" si="97"/>
        <v>0</v>
      </c>
      <c r="O146" s="5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17"/>
    </row>
    <row r="147" spans="2:28" s="42" customFormat="1" outlineLevel="1" x14ac:dyDescent="0.3">
      <c r="B147" s="5"/>
      <c r="C147" s="30"/>
      <c r="D147" s="102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5"/>
      <c r="P147" s="317"/>
      <c r="Q147" s="317"/>
      <c r="R147" s="317"/>
      <c r="S147" s="317"/>
      <c r="T147" s="317"/>
      <c r="U147" s="317"/>
      <c r="V147" s="317"/>
      <c r="W147" s="317"/>
      <c r="X147" s="317"/>
      <c r="Y147" s="317"/>
      <c r="Z147" s="317"/>
      <c r="AA147" s="317"/>
    </row>
    <row r="148" spans="2:28" outlineLevel="1" x14ac:dyDescent="0.3">
      <c r="B148" s="5"/>
      <c r="C148" s="30" t="s">
        <v>31</v>
      </c>
      <c r="D148" s="80" t="s">
        <v>84</v>
      </c>
      <c r="E148" s="145">
        <f>-E256/E255</f>
        <v>0.27027027027027029</v>
      </c>
      <c r="F148" s="145">
        <f t="shared" ref="F148:I148" si="98">-F256/F255</f>
        <v>0.22336602894046806</v>
      </c>
      <c r="G148" s="145">
        <f t="shared" si="98"/>
        <v>4.2325056433408573E-2</v>
      </c>
      <c r="H148" s="145">
        <f t="shared" si="98"/>
        <v>0.20496894409937894</v>
      </c>
      <c r="I148" s="311">
        <f t="shared" si="98"/>
        <v>0.23841059602648995</v>
      </c>
      <c r="J148" s="192">
        <f>+Tax_Rate</f>
        <v>0.2</v>
      </c>
      <c r="K148" s="192">
        <f>+Tax_Rate</f>
        <v>0.2</v>
      </c>
      <c r="L148" s="192">
        <f>+Tax_Rate</f>
        <v>0.2</v>
      </c>
      <c r="M148" s="192">
        <f>+Tax_Rate</f>
        <v>0.2</v>
      </c>
      <c r="N148" s="192">
        <f>+Tax_Rate</f>
        <v>0.2</v>
      </c>
      <c r="O148" s="5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</row>
    <row r="149" spans="2:28" x14ac:dyDescent="0.3"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317"/>
    </row>
    <row r="150" spans="2:28" x14ac:dyDescent="0.3">
      <c r="B150" s="103"/>
      <c r="C150" s="103"/>
      <c r="D150" s="104"/>
      <c r="E150" s="20" t="str">
        <f>+Loans!$E$65</f>
        <v>Historical</v>
      </c>
      <c r="F150" s="20"/>
      <c r="G150" s="20"/>
      <c r="H150" s="20"/>
      <c r="I150" s="20"/>
      <c r="J150" s="22" t="str">
        <f>+Loans!$J$65</f>
        <v>Projected</v>
      </c>
      <c r="K150" s="20"/>
      <c r="L150" s="20"/>
      <c r="M150" s="20"/>
      <c r="N150" s="20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317"/>
    </row>
    <row r="151" spans="2:28" x14ac:dyDescent="0.3">
      <c r="B151" s="83" t="s">
        <v>142</v>
      </c>
      <c r="C151" s="83"/>
      <c r="D151" s="85" t="str">
        <f>+Loans!$D$6</f>
        <v>Units:</v>
      </c>
      <c r="E151" s="89">
        <f>Loans!$E$6</f>
        <v>40543</v>
      </c>
      <c r="F151" s="89">
        <f>Loans!$F$6</f>
        <v>40908</v>
      </c>
      <c r="G151" s="89">
        <f>Loans!$G$6</f>
        <v>41274</v>
      </c>
      <c r="H151" s="89">
        <f>Loans!$H$6</f>
        <v>41639</v>
      </c>
      <c r="I151" s="90">
        <f>Loans!$I$6</f>
        <v>42004</v>
      </c>
      <c r="J151" s="89">
        <f>Loans!$J$6</f>
        <v>42369</v>
      </c>
      <c r="K151" s="89">
        <f>Loans!$K$6</f>
        <v>42735</v>
      </c>
      <c r="L151" s="89">
        <f>Loans!$L$6</f>
        <v>43100</v>
      </c>
      <c r="M151" s="89">
        <f>Loans!$M$6</f>
        <v>43465</v>
      </c>
      <c r="N151" s="89">
        <f>Loans!$N$6</f>
        <v>43830</v>
      </c>
      <c r="P151" s="317"/>
      <c r="Q151" s="317"/>
      <c r="R151" s="317"/>
      <c r="S151" s="317"/>
      <c r="T151" s="317"/>
      <c r="U151" s="317"/>
      <c r="V151" s="317"/>
      <c r="W151" s="317"/>
      <c r="X151" s="317"/>
      <c r="Y151" s="317"/>
      <c r="Z151" s="317"/>
      <c r="AA151" s="317"/>
    </row>
    <row r="152" spans="2:28" outlineLevel="1" x14ac:dyDescent="0.3">
      <c r="B152" s="106" t="s">
        <v>349</v>
      </c>
      <c r="C152" s="106"/>
      <c r="D152" s="166"/>
      <c r="E152" s="107"/>
      <c r="F152" s="107"/>
      <c r="G152" s="107"/>
      <c r="H152" s="107"/>
      <c r="I152" s="106"/>
      <c r="J152" s="107"/>
      <c r="K152" s="107"/>
      <c r="L152" s="107"/>
      <c r="M152" s="107"/>
      <c r="N152" s="107"/>
      <c r="P152" s="317"/>
      <c r="Q152" s="317"/>
      <c r="R152" s="317"/>
      <c r="S152" s="317"/>
      <c r="T152" s="317"/>
      <c r="U152" s="317"/>
      <c r="V152" s="317"/>
      <c r="W152" s="317"/>
      <c r="X152" s="317"/>
      <c r="Y152" s="317"/>
      <c r="Z152" s="317"/>
      <c r="AA152" s="317"/>
      <c r="AB152" s="41"/>
    </row>
    <row r="153" spans="2:28" outlineLevel="1" x14ac:dyDescent="0.3">
      <c r="C153" s="110" t="s">
        <v>15</v>
      </c>
      <c r="P153" s="321"/>
      <c r="Q153" s="321"/>
      <c r="R153" s="321"/>
      <c r="S153" s="321"/>
      <c r="T153" s="321"/>
      <c r="U153" s="321"/>
      <c r="V153" s="321"/>
      <c r="W153" s="321"/>
      <c r="X153" s="321"/>
      <c r="Y153" s="321"/>
      <c r="Z153" s="321"/>
      <c r="AA153" s="317"/>
      <c r="AB153" s="41"/>
    </row>
    <row r="154" spans="2:28" outlineLevel="1" x14ac:dyDescent="0.3">
      <c r="C154" s="26" t="s">
        <v>66</v>
      </c>
      <c r="D154" s="80" t="s">
        <v>84</v>
      </c>
      <c r="E154" s="15">
        <f t="shared" ref="E154:H154" si="99">IFERROR(+E267/E$285,"N/A")</f>
        <v>0</v>
      </c>
      <c r="F154" s="15">
        <f t="shared" si="99"/>
        <v>0</v>
      </c>
      <c r="G154" s="15">
        <f t="shared" si="99"/>
        <v>2.1652051531882645E-4</v>
      </c>
      <c r="H154" s="15">
        <f t="shared" si="99"/>
        <v>0.14121667805878332</v>
      </c>
      <c r="I154" s="16">
        <f>IFERROR(+I267/I$285,"N/A")</f>
        <v>0.12932672449401075</v>
      </c>
      <c r="J154" s="192">
        <f>AVERAGE(H154,I154)</f>
        <v>0.13527170127639704</v>
      </c>
      <c r="K154" s="192">
        <f>+J154</f>
        <v>0.13527170127639704</v>
      </c>
      <c r="L154" s="192">
        <f t="shared" ref="L154:N154" si="100">+K154</f>
        <v>0.13527170127639704</v>
      </c>
      <c r="M154" s="192">
        <f t="shared" si="100"/>
        <v>0.13527170127639704</v>
      </c>
      <c r="N154" s="192">
        <f t="shared" si="100"/>
        <v>0.13527170127639704</v>
      </c>
      <c r="P154" s="317"/>
      <c r="Q154" s="321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41"/>
    </row>
    <row r="155" spans="2:28" outlineLevel="1" x14ac:dyDescent="0.3">
      <c r="C155" s="26" t="s">
        <v>188</v>
      </c>
      <c r="D155" s="80" t="s">
        <v>84</v>
      </c>
      <c r="E155" s="15">
        <f t="shared" ref="E155:H155" si="101">IFERROR(+E269/E$285,"N/A")</f>
        <v>0</v>
      </c>
      <c r="F155" s="15">
        <f t="shared" si="101"/>
        <v>0.35920177383592017</v>
      </c>
      <c r="G155" s="15">
        <f t="shared" si="101"/>
        <v>0.15686911334848977</v>
      </c>
      <c r="H155" s="15">
        <f t="shared" si="101"/>
        <v>0</v>
      </c>
      <c r="I155" s="16">
        <f>IFERROR(+I269/I$285,"N/A")</f>
        <v>0</v>
      </c>
      <c r="J155" s="143">
        <v>0</v>
      </c>
      <c r="K155" s="192">
        <f>+J155</f>
        <v>0</v>
      </c>
      <c r="L155" s="192">
        <f t="shared" ref="L155:N155" si="102">+K155</f>
        <v>0</v>
      </c>
      <c r="M155" s="192">
        <f t="shared" si="102"/>
        <v>0</v>
      </c>
      <c r="N155" s="192">
        <f t="shared" si="102"/>
        <v>0</v>
      </c>
      <c r="P155" s="317"/>
      <c r="Q155" s="321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41"/>
    </row>
    <row r="156" spans="2:28" outlineLevel="1" x14ac:dyDescent="0.3">
      <c r="C156" s="26" t="s">
        <v>189</v>
      </c>
      <c r="D156" s="80" t="s">
        <v>84</v>
      </c>
      <c r="E156" s="15">
        <f t="shared" ref="E156:H156" si="103">IFERROR(+E270/E$285,"N/A")</f>
        <v>0</v>
      </c>
      <c r="F156" s="15">
        <f t="shared" si="103"/>
        <v>5.5432372505543237E-4</v>
      </c>
      <c r="G156" s="15">
        <f t="shared" si="103"/>
        <v>0</v>
      </c>
      <c r="H156" s="15">
        <f t="shared" si="103"/>
        <v>0</v>
      </c>
      <c r="I156" s="16">
        <f>IFERROR(+I270/I$285,"N/A")</f>
        <v>1.5282940933498555E-3</v>
      </c>
      <c r="J156" s="192">
        <f>+I156</f>
        <v>1.5282940933498555E-3</v>
      </c>
      <c r="K156" s="192">
        <f t="shared" ref="K156:N156" si="104">+J156</f>
        <v>1.5282940933498555E-3</v>
      </c>
      <c r="L156" s="192">
        <f t="shared" si="104"/>
        <v>1.5282940933498555E-3</v>
      </c>
      <c r="M156" s="192">
        <f t="shared" si="104"/>
        <v>1.5282940933498555E-3</v>
      </c>
      <c r="N156" s="192">
        <f t="shared" si="104"/>
        <v>1.5282940933498555E-3</v>
      </c>
      <c r="P156" s="317"/>
      <c r="Q156" s="321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41"/>
    </row>
    <row r="157" spans="2:28" outlineLevel="1" x14ac:dyDescent="0.3">
      <c r="C157" s="2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41"/>
    </row>
    <row r="158" spans="2:28" outlineLevel="1" x14ac:dyDescent="0.3">
      <c r="C158" s="26" t="s">
        <v>26</v>
      </c>
      <c r="D158" s="80" t="s">
        <v>84</v>
      </c>
      <c r="E158" s="133"/>
      <c r="F158" s="15">
        <f>IFERROR(+F279/E279-1,0)</f>
        <v>2</v>
      </c>
      <c r="G158" s="15">
        <f t="shared" ref="G158:I158" si="105">IFERROR(+G279/F279-1,0)</f>
        <v>6.2666666666666666</v>
      </c>
      <c r="H158" s="15">
        <f t="shared" si="105"/>
        <v>-0.44036697247706424</v>
      </c>
      <c r="I158" s="16">
        <f t="shared" si="105"/>
        <v>0.11475409836065587</v>
      </c>
      <c r="J158" s="143">
        <v>0.08</v>
      </c>
      <c r="K158" s="143">
        <v>7.0000000000000007E-2</v>
      </c>
      <c r="L158" s="143">
        <v>0.06</v>
      </c>
      <c r="M158" s="143">
        <v>0.05</v>
      </c>
      <c r="N158" s="143">
        <v>0.04</v>
      </c>
      <c r="P158" s="317"/>
      <c r="Q158" s="317"/>
      <c r="R158" s="317"/>
      <c r="S158" s="317"/>
      <c r="T158" s="317"/>
      <c r="U158" s="317"/>
      <c r="V158" s="317"/>
      <c r="W158" s="317"/>
      <c r="X158" s="317"/>
      <c r="Y158" s="317"/>
      <c r="Z158" s="317"/>
      <c r="AA158" s="317"/>
      <c r="AB158" s="41"/>
    </row>
    <row r="159" spans="2:28" outlineLevel="1" x14ac:dyDescent="0.3">
      <c r="C159" s="50" t="s">
        <v>223</v>
      </c>
      <c r="D159" s="80" t="s">
        <v>84</v>
      </c>
      <c r="E159" s="146"/>
      <c r="F159" s="15"/>
      <c r="G159" s="15"/>
      <c r="H159" s="15">
        <f>-H347/H267</f>
        <v>3.3881897386253629E-3</v>
      </c>
      <c r="I159" s="16">
        <f>-I347/I267</f>
        <v>5.429575215586074E-3</v>
      </c>
      <c r="J159" s="143">
        <v>7.0000000000000001E-3</v>
      </c>
      <c r="K159" s="143">
        <v>8.9999999999999993E-3</v>
      </c>
      <c r="L159" s="143">
        <v>1.0999999999999999E-2</v>
      </c>
      <c r="M159" s="143">
        <v>1.2999999999999999E-2</v>
      </c>
      <c r="N159" s="143">
        <v>1.4999999999999999E-2</v>
      </c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41"/>
    </row>
    <row r="160" spans="2:28" outlineLevel="1" x14ac:dyDescent="0.3">
      <c r="E160" s="146"/>
      <c r="F160" s="146"/>
      <c r="G160" s="146"/>
      <c r="H160" s="146"/>
      <c r="I160" s="146"/>
      <c r="P160" s="317"/>
      <c r="Q160" s="317"/>
      <c r="R160" s="317"/>
      <c r="S160" s="317"/>
      <c r="T160" s="317"/>
      <c r="U160" s="317"/>
      <c r="V160" s="317"/>
      <c r="W160" s="317"/>
      <c r="X160" s="317"/>
      <c r="Y160" s="317"/>
      <c r="Z160" s="317"/>
      <c r="AA160" s="317"/>
      <c r="AB160" s="41"/>
    </row>
    <row r="161" spans="2:28" outlineLevel="1" x14ac:dyDescent="0.3">
      <c r="C161" s="110" t="s">
        <v>21</v>
      </c>
      <c r="E161" s="146"/>
      <c r="F161" s="146"/>
      <c r="G161" s="146"/>
      <c r="H161" s="146"/>
      <c r="I161" s="146"/>
      <c r="P161" s="321"/>
      <c r="Q161" s="321"/>
      <c r="R161" s="321"/>
      <c r="S161" s="321"/>
      <c r="T161" s="321"/>
      <c r="U161" s="321"/>
      <c r="V161" s="321"/>
      <c r="W161" s="321"/>
      <c r="X161" s="321"/>
      <c r="Y161" s="321"/>
      <c r="Z161" s="321"/>
      <c r="AA161" s="317"/>
      <c r="AB161" s="41"/>
    </row>
    <row r="162" spans="2:28" outlineLevel="1" x14ac:dyDescent="0.3">
      <c r="C162" s="26" t="s">
        <v>384</v>
      </c>
      <c r="D162" s="80" t="s">
        <v>84</v>
      </c>
      <c r="E162" s="15">
        <f t="shared" ref="E162:H162" si="106">IFERROR(E274/E285,0)</f>
        <v>0.73737373737373735</v>
      </c>
      <c r="F162" s="15">
        <f t="shared" si="106"/>
        <v>0.61363636363636365</v>
      </c>
      <c r="G162" s="15">
        <f t="shared" si="106"/>
        <v>0.80675544007794742</v>
      </c>
      <c r="H162" s="15">
        <f t="shared" si="106"/>
        <v>0.92064251537935737</v>
      </c>
      <c r="I162" s="16">
        <f>IFERROR(I274/I285,0)</f>
        <v>0.94374225526641886</v>
      </c>
      <c r="J162" s="143">
        <v>1</v>
      </c>
      <c r="K162" s="143">
        <v>1.01</v>
      </c>
      <c r="L162" s="143">
        <v>1.02</v>
      </c>
      <c r="M162" s="143">
        <v>1.03</v>
      </c>
      <c r="N162" s="143">
        <v>1.04</v>
      </c>
      <c r="P162" s="317"/>
      <c r="Q162" s="317"/>
      <c r="R162" s="317"/>
      <c r="S162" s="317"/>
      <c r="T162" s="317"/>
      <c r="U162" s="317"/>
      <c r="V162" s="317"/>
      <c r="W162" s="317"/>
      <c r="X162" s="317"/>
      <c r="Y162" s="317"/>
      <c r="Z162" s="317"/>
      <c r="AA162" s="317"/>
      <c r="AB162" s="41"/>
    </row>
    <row r="163" spans="2:28" outlineLevel="1" x14ac:dyDescent="0.3">
      <c r="C163" s="26" t="s">
        <v>200</v>
      </c>
      <c r="D163" s="80" t="s">
        <v>84</v>
      </c>
      <c r="E163" s="15" t="str">
        <f t="shared" ref="E163:H163" si="107">IFERROR((E287-D287)/(E272-D272),"N/A")</f>
        <v>N/A</v>
      </c>
      <c r="F163" s="15">
        <f t="shared" si="107"/>
        <v>-5.7077625570776259E-2</v>
      </c>
      <c r="G163" s="15">
        <f t="shared" si="107"/>
        <v>0</v>
      </c>
      <c r="H163" s="15">
        <f t="shared" si="107"/>
        <v>4.5672679132881026E-2</v>
      </c>
      <c r="I163" s="16">
        <f>IFERROR((I287-H287)/(I272-H272),"N/A")</f>
        <v>3.3912674862229745E-3</v>
      </c>
      <c r="J163" s="143">
        <v>3.0000000000000001E-3</v>
      </c>
      <c r="K163" s="192">
        <f>+J163</f>
        <v>3.0000000000000001E-3</v>
      </c>
      <c r="L163" s="192">
        <f t="shared" ref="L163:N163" si="108">+K163</f>
        <v>3.0000000000000001E-3</v>
      </c>
      <c r="M163" s="192">
        <f t="shared" si="108"/>
        <v>3.0000000000000001E-3</v>
      </c>
      <c r="N163" s="192">
        <f t="shared" si="108"/>
        <v>3.0000000000000001E-3</v>
      </c>
      <c r="P163" s="317"/>
      <c r="Q163" s="317"/>
      <c r="R163" s="317"/>
      <c r="S163" s="317"/>
      <c r="T163" s="317"/>
      <c r="U163" s="317"/>
      <c r="V163" s="317"/>
      <c r="W163" s="317"/>
      <c r="X163" s="317"/>
      <c r="Y163" s="317"/>
      <c r="Z163" s="317"/>
      <c r="AA163" s="317"/>
      <c r="AB163" s="41"/>
    </row>
    <row r="164" spans="2:28" outlineLevel="1" x14ac:dyDescent="0.3">
      <c r="C164" s="26" t="s">
        <v>191</v>
      </c>
      <c r="D164" s="80" t="s">
        <v>84</v>
      </c>
      <c r="E164" s="15">
        <f t="shared" ref="E164:I164" si="109">IFERROR(+E288/E$272,"N/A")</f>
        <v>0</v>
      </c>
      <c r="F164" s="15">
        <f t="shared" si="109"/>
        <v>9.0090090090090091E-4</v>
      </c>
      <c r="G164" s="15">
        <f t="shared" si="109"/>
        <v>0</v>
      </c>
      <c r="H164" s="15">
        <f t="shared" si="109"/>
        <v>0</v>
      </c>
      <c r="I164" s="16">
        <f t="shared" si="109"/>
        <v>0</v>
      </c>
      <c r="J164" s="192">
        <f>+I164</f>
        <v>0</v>
      </c>
      <c r="K164" s="192">
        <f t="shared" ref="K164:N164" si="110">+J164</f>
        <v>0</v>
      </c>
      <c r="L164" s="192">
        <f t="shared" si="110"/>
        <v>0</v>
      </c>
      <c r="M164" s="192">
        <f t="shared" si="110"/>
        <v>0</v>
      </c>
      <c r="N164" s="192">
        <f t="shared" si="110"/>
        <v>0</v>
      </c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41"/>
    </row>
    <row r="165" spans="2:28" outlineLevel="1" x14ac:dyDescent="0.3">
      <c r="C165" s="26" t="s">
        <v>190</v>
      </c>
      <c r="D165" s="80" t="s">
        <v>84</v>
      </c>
      <c r="E165" s="15">
        <f>IFERROR(+E289/E$272,"N/A")</f>
        <v>8.5470085470085479E-3</v>
      </c>
      <c r="F165" s="15">
        <f t="shared" ref="F165:I165" si="111">IFERROR(+F289/F$272,"N/A")</f>
        <v>3.6036036036036036E-2</v>
      </c>
      <c r="G165" s="15">
        <f t="shared" si="111"/>
        <v>2.8342245989304817E-2</v>
      </c>
      <c r="H165" s="15">
        <f t="shared" si="111"/>
        <v>1.2793019300451082E-2</v>
      </c>
      <c r="I165" s="16">
        <f t="shared" si="111"/>
        <v>1.851125920118472E-2</v>
      </c>
      <c r="J165" s="192">
        <f>AVERAGE(H165,I165)</f>
        <v>1.56521392508179E-2</v>
      </c>
      <c r="K165" s="192">
        <f>+J165</f>
        <v>1.56521392508179E-2</v>
      </c>
      <c r="L165" s="192">
        <f t="shared" ref="L165:N165" si="112">+K165</f>
        <v>1.56521392508179E-2</v>
      </c>
      <c r="M165" s="192">
        <f t="shared" si="112"/>
        <v>1.56521392508179E-2</v>
      </c>
      <c r="N165" s="192">
        <f t="shared" si="112"/>
        <v>1.56521392508179E-2</v>
      </c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41"/>
    </row>
    <row r="166" spans="2:28" outlineLevel="1" x14ac:dyDescent="0.3">
      <c r="C166" s="30"/>
      <c r="E166" s="146"/>
      <c r="F166" s="146"/>
      <c r="G166" s="146"/>
      <c r="H166" s="146"/>
      <c r="I166" s="14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  <c r="Z166" s="317"/>
      <c r="AA166" s="317"/>
      <c r="AB166" s="41"/>
    </row>
    <row r="167" spans="2:28" outlineLevel="1" x14ac:dyDescent="0.3">
      <c r="C167" s="31" t="s">
        <v>250</v>
      </c>
      <c r="D167" s="101"/>
      <c r="E167" s="146"/>
      <c r="F167" s="146"/>
      <c r="G167" s="146"/>
      <c r="H167" s="146"/>
      <c r="I167" s="147"/>
      <c r="P167" s="317"/>
      <c r="Q167" s="317"/>
      <c r="R167" s="317"/>
      <c r="S167" s="317"/>
      <c r="T167" s="317"/>
      <c r="U167" s="317"/>
      <c r="V167" s="317"/>
      <c r="W167" s="317"/>
      <c r="X167" s="317"/>
      <c r="Y167" s="317"/>
      <c r="Z167" s="317"/>
      <c r="AA167" s="317"/>
      <c r="AB167" s="41"/>
    </row>
    <row r="168" spans="2:28" outlineLevel="1" x14ac:dyDescent="0.3">
      <c r="C168" s="26" t="s">
        <v>248</v>
      </c>
      <c r="D168" s="80" t="s">
        <v>74</v>
      </c>
      <c r="I168" s="110"/>
      <c r="J168" s="118">
        <f ca="1">+J267+J269+J270+J274+J276+J277+J278+J279+I268</f>
        <v>3109.2063268427241</v>
      </c>
      <c r="K168" s="118">
        <f t="shared" ref="K168:N168" ca="1" si="113">+K267+K269+K270+K274+K276+K277+K278+K279+J268</f>
        <v>3731.7929655137709</v>
      </c>
      <c r="L168" s="118">
        <f t="shared" ca="1" si="113"/>
        <v>4608.681510350375</v>
      </c>
      <c r="M168" s="118">
        <f t="shared" ca="1" si="113"/>
        <v>5260.5969910874237</v>
      </c>
      <c r="N168" s="118">
        <f t="shared" ca="1" si="113"/>
        <v>5927.7576208525206</v>
      </c>
      <c r="P168" s="317"/>
      <c r="Q168" s="317"/>
      <c r="R168" s="317"/>
      <c r="S168" s="317"/>
      <c r="T168" s="317"/>
      <c r="U168" s="317"/>
      <c r="V168" s="317"/>
      <c r="W168" s="317"/>
      <c r="X168" s="317"/>
      <c r="Y168" s="317"/>
      <c r="Z168" s="317"/>
      <c r="AA168" s="317"/>
      <c r="AB168" s="41"/>
    </row>
    <row r="169" spans="2:28" outlineLevel="1" x14ac:dyDescent="0.3">
      <c r="C169" s="26" t="s">
        <v>249</v>
      </c>
      <c r="D169" s="81" t="s">
        <v>74</v>
      </c>
      <c r="I169" s="110"/>
      <c r="J169" s="118">
        <f ca="1">+J285+J287+J288+J289+J296+I286</f>
        <v>3073.4021085275808</v>
      </c>
      <c r="K169" s="118">
        <f t="shared" ref="K169:N169" ca="1" si="114">+K285+K287+K288+K289+K296+J286</f>
        <v>3724.5535310371988</v>
      </c>
      <c r="L169" s="118">
        <f t="shared" ca="1" si="114"/>
        <v>4557.592617464803</v>
      </c>
      <c r="M169" s="118">
        <f t="shared" ca="1" si="114"/>
        <v>5226.5216040772566</v>
      </c>
      <c r="N169" s="118">
        <f t="shared" ca="1" si="114"/>
        <v>5882.5152292600405</v>
      </c>
      <c r="P169" s="317"/>
      <c r="Q169" s="317"/>
      <c r="R169" s="317"/>
      <c r="S169" s="317"/>
      <c r="T169" s="317"/>
      <c r="U169" s="317"/>
      <c r="V169" s="317"/>
      <c r="W169" s="317"/>
      <c r="X169" s="317"/>
      <c r="Y169" s="317"/>
      <c r="Z169" s="317"/>
      <c r="AA169" s="317"/>
      <c r="AB169" s="41"/>
    </row>
    <row r="170" spans="2:28" outlineLevel="1" x14ac:dyDescent="0.3">
      <c r="C170" s="7" t="s">
        <v>64</v>
      </c>
      <c r="D170" s="80" t="s">
        <v>74</v>
      </c>
      <c r="E170" s="120"/>
      <c r="F170" s="148">
        <f>+F268-E268</f>
        <v>12.8</v>
      </c>
      <c r="G170" s="148">
        <f t="shared" ref="G170:I170" si="115">+G268-F268</f>
        <v>26.1</v>
      </c>
      <c r="H170" s="148">
        <f t="shared" si="115"/>
        <v>-31.8</v>
      </c>
      <c r="I170" s="165">
        <f t="shared" si="115"/>
        <v>12.8</v>
      </c>
      <c r="J170" s="149">
        <f ca="1">MAX(+J169-J168,0)</f>
        <v>0</v>
      </c>
      <c r="K170" s="149">
        <f t="shared" ref="K170:N170" ca="1" si="116">MAX(+K169-K168,0)</f>
        <v>0</v>
      </c>
      <c r="L170" s="149">
        <f t="shared" ca="1" si="116"/>
        <v>0</v>
      </c>
      <c r="M170" s="149">
        <f t="shared" ca="1" si="116"/>
        <v>0</v>
      </c>
      <c r="N170" s="149">
        <f t="shared" ca="1" si="116"/>
        <v>0</v>
      </c>
      <c r="P170" s="321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  <c r="AA170" s="317"/>
      <c r="AB170" s="41"/>
    </row>
    <row r="171" spans="2:28" outlineLevel="1" x14ac:dyDescent="0.3">
      <c r="B171" s="5"/>
      <c r="C171" s="30" t="s">
        <v>65</v>
      </c>
      <c r="D171" s="80" t="s">
        <v>74</v>
      </c>
      <c r="F171" s="137">
        <f>+F286-E286</f>
        <v>0</v>
      </c>
      <c r="G171" s="137">
        <f t="shared" ref="G171:I171" si="117">+G286-F286</f>
        <v>0</v>
      </c>
      <c r="H171" s="137">
        <f t="shared" si="117"/>
        <v>24.6</v>
      </c>
      <c r="I171" s="172">
        <f t="shared" si="117"/>
        <v>16.399999999999999</v>
      </c>
      <c r="J171" s="118">
        <f ca="1">MAX(+J168-J169,0)</f>
        <v>35.804218315143316</v>
      </c>
      <c r="K171" s="118">
        <f t="shared" ref="K171:N171" ca="1" si="118">MAX(+K168-K169,0)</f>
        <v>7.2394344765721144</v>
      </c>
      <c r="L171" s="118">
        <f t="shared" ca="1" si="118"/>
        <v>51.088892885572022</v>
      </c>
      <c r="M171" s="118">
        <f t="shared" ca="1" si="118"/>
        <v>34.075387010167105</v>
      </c>
      <c r="N171" s="118">
        <f t="shared" ca="1" si="118"/>
        <v>45.242391592480089</v>
      </c>
      <c r="O171" s="5"/>
      <c r="P171" s="321"/>
      <c r="Q171" s="321"/>
      <c r="R171" s="321"/>
      <c r="S171" s="321"/>
      <c r="T171" s="321"/>
      <c r="U171" s="321"/>
      <c r="V171" s="321"/>
      <c r="W171" s="321"/>
      <c r="X171" s="321"/>
      <c r="Y171" s="321"/>
      <c r="Z171" s="321"/>
      <c r="AA171" s="317"/>
      <c r="AB171" s="41"/>
    </row>
    <row r="172" spans="2:28" outlineLevel="1" x14ac:dyDescent="0.3">
      <c r="C172" s="30"/>
      <c r="E172" s="146"/>
      <c r="F172" s="146"/>
      <c r="G172" s="146"/>
      <c r="H172" s="146"/>
      <c r="I172" s="147"/>
      <c r="P172" s="317"/>
      <c r="Q172" s="321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41"/>
    </row>
    <row r="173" spans="2:28" outlineLevel="1" x14ac:dyDescent="0.3">
      <c r="B173" s="106" t="s">
        <v>350</v>
      </c>
      <c r="C173" s="106"/>
      <c r="D173" s="166"/>
      <c r="E173" s="107"/>
      <c r="F173" s="107"/>
      <c r="G173" s="107"/>
      <c r="H173" s="107"/>
      <c r="I173" s="106"/>
      <c r="J173" s="107"/>
      <c r="K173" s="107"/>
      <c r="L173" s="107"/>
      <c r="M173" s="107"/>
      <c r="N173" s="107"/>
      <c r="P173" s="321"/>
      <c r="Q173" s="321"/>
      <c r="R173" s="321"/>
      <c r="S173" s="321"/>
      <c r="T173" s="321"/>
      <c r="U173" s="321"/>
      <c r="V173" s="321"/>
      <c r="W173" s="321"/>
      <c r="X173" s="321"/>
      <c r="Y173" s="321"/>
      <c r="Z173" s="321"/>
      <c r="AA173" s="317"/>
      <c r="AB173" s="317"/>
    </row>
    <row r="174" spans="2:28" outlineLevel="1" x14ac:dyDescent="0.3">
      <c r="C174" s="26" t="s">
        <v>201</v>
      </c>
      <c r="D174" s="80" t="s">
        <v>74</v>
      </c>
      <c r="E174" s="154"/>
      <c r="F174" s="154"/>
      <c r="G174" s="154"/>
      <c r="H174" s="154">
        <v>0.7</v>
      </c>
      <c r="I174" s="206">
        <v>12</v>
      </c>
      <c r="J174" s="137">
        <f ca="1">+J176-J175</f>
        <v>12.59942203692162</v>
      </c>
      <c r="K174" s="137">
        <f t="shared" ref="K174:N174" ca="1" si="119">+K176-K175</f>
        <v>13.978641533971684</v>
      </c>
      <c r="L174" s="137">
        <f t="shared" ca="1" si="119"/>
        <v>16.451500533253171</v>
      </c>
      <c r="M174" s="137">
        <f t="shared" ca="1" si="119"/>
        <v>18.339144930405801</v>
      </c>
      <c r="N174" s="137">
        <f t="shared" ca="1" si="119"/>
        <v>19.621182133415214</v>
      </c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</row>
    <row r="175" spans="2:28" outlineLevel="1" x14ac:dyDescent="0.3">
      <c r="C175" s="26" t="s">
        <v>197</v>
      </c>
      <c r="D175" s="81" t="s">
        <v>74</v>
      </c>
      <c r="E175" s="154"/>
      <c r="F175" s="154"/>
      <c r="G175" s="154"/>
      <c r="H175" s="154">
        <v>2.6</v>
      </c>
      <c r="I175" s="206">
        <v>-1.2</v>
      </c>
      <c r="J175" s="118">
        <f ca="1">+J178*J176</f>
        <v>-1.1454020033565111</v>
      </c>
      <c r="K175" s="118">
        <f t="shared" ref="K175:N175" ca="1" si="120">+K178*K176</f>
        <v>-1.270785593997426</v>
      </c>
      <c r="L175" s="118">
        <f t="shared" ca="1" si="120"/>
        <v>-1.49559095756847</v>
      </c>
      <c r="M175" s="118">
        <f t="shared" ca="1" si="120"/>
        <v>-1.6671949936732546</v>
      </c>
      <c r="N175" s="118">
        <f t="shared" ca="1" si="120"/>
        <v>-1.783743830310474</v>
      </c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</row>
    <row r="176" spans="2:28" outlineLevel="1" x14ac:dyDescent="0.3">
      <c r="C176" s="79" t="s">
        <v>198</v>
      </c>
      <c r="D176" s="80" t="s">
        <v>74</v>
      </c>
      <c r="E176" s="214"/>
      <c r="F176" s="214"/>
      <c r="G176" s="214"/>
      <c r="H176" s="153">
        <f>SUM(H174:H175)</f>
        <v>3.3</v>
      </c>
      <c r="I176" s="153">
        <f>SUM(I174:I175)</f>
        <v>10.8</v>
      </c>
      <c r="J176" s="165">
        <f ca="1">-J256</f>
        <v>11.45402003356511</v>
      </c>
      <c r="K176" s="165">
        <f t="shared" ref="K176:N176" ca="1" si="121">-K256</f>
        <v>12.707855939974259</v>
      </c>
      <c r="L176" s="165">
        <f t="shared" ca="1" si="121"/>
        <v>14.9559095756847</v>
      </c>
      <c r="M176" s="165">
        <f t="shared" ca="1" si="121"/>
        <v>16.671949936732545</v>
      </c>
      <c r="N176" s="165">
        <f t="shared" ca="1" si="121"/>
        <v>17.83743830310474</v>
      </c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7"/>
      <c r="AB176" s="317"/>
    </row>
    <row r="177" spans="2:28" outlineLevel="1" x14ac:dyDescent="0.3">
      <c r="C177" s="26"/>
      <c r="E177" s="154"/>
      <c r="F177" s="154"/>
      <c r="G177" s="154"/>
      <c r="H177" s="154"/>
      <c r="I177" s="154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</row>
    <row r="178" spans="2:28" outlineLevel="1" x14ac:dyDescent="0.3">
      <c r="C178" s="37" t="s">
        <v>351</v>
      </c>
      <c r="D178" s="80" t="s">
        <v>84</v>
      </c>
      <c r="E178" s="15"/>
      <c r="F178" s="15"/>
      <c r="G178" s="15"/>
      <c r="H178" s="15">
        <f>+H175/H176</f>
        <v>0.78787878787878796</v>
      </c>
      <c r="I178" s="16">
        <f>+I175/I176</f>
        <v>-0.1111111111111111</v>
      </c>
      <c r="J178" s="143">
        <v>-0.1</v>
      </c>
      <c r="K178" s="192">
        <f>+J178</f>
        <v>-0.1</v>
      </c>
      <c r="L178" s="192">
        <f t="shared" ref="L178:N178" si="122">+K178</f>
        <v>-0.1</v>
      </c>
      <c r="M178" s="192">
        <f t="shared" si="122"/>
        <v>-0.1</v>
      </c>
      <c r="N178" s="192">
        <f t="shared" si="122"/>
        <v>-0.1</v>
      </c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</row>
    <row r="179" spans="2:28" outlineLevel="1" x14ac:dyDescent="0.3">
      <c r="C179" s="30"/>
      <c r="E179" s="146"/>
      <c r="F179" s="146"/>
      <c r="G179" s="146"/>
      <c r="H179" s="146"/>
      <c r="I179" s="147"/>
      <c r="P179" s="317"/>
      <c r="Q179" s="317"/>
      <c r="R179" s="317"/>
      <c r="S179" s="317"/>
      <c r="T179" s="317"/>
      <c r="U179" s="317"/>
      <c r="V179" s="317"/>
      <c r="W179" s="317"/>
      <c r="X179" s="317"/>
      <c r="Y179" s="317"/>
      <c r="Z179" s="317"/>
      <c r="AA179" s="317"/>
      <c r="AB179" s="317"/>
    </row>
    <row r="180" spans="2:28" outlineLevel="1" x14ac:dyDescent="0.3">
      <c r="C180" s="30" t="s">
        <v>40</v>
      </c>
      <c r="D180" s="80" t="s">
        <v>84</v>
      </c>
      <c r="E180" s="155">
        <f>IFERROR(-E326/E239,"N/A")</f>
        <v>0</v>
      </c>
      <c r="F180" s="18">
        <f>IFERROR(-F326/F239,"N/A")</f>
        <v>0.22696323195642307</v>
      </c>
      <c r="G180" s="18">
        <f>IFERROR(-G326/G239,"N/A")</f>
        <v>0.50788233382090042</v>
      </c>
      <c r="H180" s="18">
        <f>IFERROR(-H326/H239,"N/A")</f>
        <v>0.18635607321131448</v>
      </c>
      <c r="I180" s="66">
        <f>IFERROR(-I326/I239,"N/A")</f>
        <v>9.8039215686274481E-2</v>
      </c>
      <c r="J180" s="143">
        <v>0.1</v>
      </c>
      <c r="K180" s="192">
        <f>+J180</f>
        <v>0.1</v>
      </c>
      <c r="L180" s="192">
        <f t="shared" ref="L180:N180" si="123">+K180</f>
        <v>0.1</v>
      </c>
      <c r="M180" s="192">
        <f t="shared" si="123"/>
        <v>0.1</v>
      </c>
      <c r="N180" s="192">
        <f t="shared" si="123"/>
        <v>0.1</v>
      </c>
      <c r="P180" s="317"/>
      <c r="Q180" s="317"/>
      <c r="R180" s="317"/>
      <c r="S180" s="317"/>
      <c r="T180" s="317"/>
      <c r="U180" s="317"/>
      <c r="V180" s="317"/>
      <c r="W180" s="317"/>
      <c r="X180" s="317"/>
      <c r="Y180" s="317"/>
      <c r="Z180" s="317"/>
      <c r="AA180" s="317"/>
      <c r="AB180" s="317"/>
    </row>
    <row r="181" spans="2:28" outlineLevel="1" x14ac:dyDescent="0.3">
      <c r="C181" s="30" t="s">
        <v>204</v>
      </c>
      <c r="D181" s="80" t="s">
        <v>84</v>
      </c>
      <c r="E181" s="155">
        <f>IFERROR(-E327/E239,"N/A")</f>
        <v>0</v>
      </c>
      <c r="F181" s="155">
        <f>IFERROR(-F327/F239,"N/A")</f>
        <v>0</v>
      </c>
      <c r="G181" s="155">
        <f>IFERROR(-G327/G239,"N/A")</f>
        <v>-0.15033317081098652</v>
      </c>
      <c r="H181" s="155">
        <f>IFERROR(-H327/H239,"N/A")</f>
        <v>-6.3227953410981697E-2</v>
      </c>
      <c r="I181" s="221">
        <f>IFERROR(-I327/I239,"N/A")</f>
        <v>-1.9607843137254898E-2</v>
      </c>
      <c r="J181" s="143">
        <v>-0.02</v>
      </c>
      <c r="K181" s="192">
        <f>+J181</f>
        <v>-0.02</v>
      </c>
      <c r="L181" s="192">
        <f t="shared" ref="L181:N181" si="124">+K181</f>
        <v>-0.02</v>
      </c>
      <c r="M181" s="192">
        <f t="shared" si="124"/>
        <v>-0.02</v>
      </c>
      <c r="N181" s="192">
        <f t="shared" si="124"/>
        <v>-0.02</v>
      </c>
      <c r="P181" s="317"/>
      <c r="Q181" s="317"/>
      <c r="R181" s="317"/>
      <c r="S181" s="317"/>
      <c r="T181" s="317"/>
      <c r="U181" s="317"/>
      <c r="V181" s="317"/>
      <c r="W181" s="317"/>
      <c r="X181" s="317"/>
      <c r="Y181" s="317"/>
      <c r="Z181" s="317"/>
      <c r="AA181" s="317"/>
      <c r="AB181" s="317"/>
    </row>
    <row r="182" spans="2:28" outlineLevel="1" x14ac:dyDescent="0.3">
      <c r="C182" s="30" t="s">
        <v>222</v>
      </c>
      <c r="D182" s="80" t="s">
        <v>84</v>
      </c>
      <c r="E182" s="155">
        <f>IFERROR(-E313/E239,"N/A")</f>
        <v>0</v>
      </c>
      <c r="F182" s="155">
        <f>IFERROR(-F313/F239,"N/A")</f>
        <v>0</v>
      </c>
      <c r="G182" s="155">
        <f>IFERROR(-G313/G239,"N/A")</f>
        <v>1.218917601170161E-2</v>
      </c>
      <c r="H182" s="155">
        <f>IFERROR(-H313/H239,"N/A")</f>
        <v>1.8302828618968391E-2</v>
      </c>
      <c r="I182" s="221">
        <f>IFERROR(-I313/I239,"N/A")</f>
        <v>6.2388591800356481E-3</v>
      </c>
      <c r="J182" s="143">
        <v>5.0000000000000001E-3</v>
      </c>
      <c r="K182" s="192">
        <f>+J182</f>
        <v>5.0000000000000001E-3</v>
      </c>
      <c r="L182" s="192">
        <f t="shared" ref="L182:N182" si="125">+K182</f>
        <v>5.0000000000000001E-3</v>
      </c>
      <c r="M182" s="192">
        <f t="shared" si="125"/>
        <v>5.0000000000000001E-3</v>
      </c>
      <c r="N182" s="192">
        <f t="shared" si="125"/>
        <v>5.0000000000000001E-3</v>
      </c>
      <c r="P182" s="317"/>
      <c r="Q182" s="317"/>
      <c r="R182" s="317"/>
      <c r="S182" s="317"/>
      <c r="T182" s="317"/>
      <c r="U182" s="317"/>
      <c r="V182" s="317"/>
      <c r="W182" s="317"/>
      <c r="X182" s="317"/>
      <c r="Y182" s="317"/>
      <c r="Z182" s="317"/>
      <c r="AA182" s="317"/>
      <c r="AB182" s="317"/>
    </row>
    <row r="183" spans="2:28" outlineLevel="1" x14ac:dyDescent="0.3">
      <c r="C183" s="26"/>
      <c r="D183" s="80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P183" s="317"/>
      <c r="Q183" s="317"/>
      <c r="R183" s="317"/>
      <c r="S183" s="317"/>
      <c r="T183" s="317"/>
      <c r="U183" s="317"/>
      <c r="V183" s="317"/>
      <c r="W183" s="317"/>
      <c r="X183" s="317"/>
      <c r="Y183" s="317"/>
      <c r="Z183" s="317"/>
      <c r="AA183" s="317"/>
      <c r="AB183" s="317"/>
    </row>
    <row r="184" spans="2:28" outlineLevel="1" x14ac:dyDescent="0.3">
      <c r="C184" s="30" t="s">
        <v>203</v>
      </c>
      <c r="D184" s="80" t="s">
        <v>84</v>
      </c>
      <c r="E184" s="155">
        <f>IFERROR(-E328/E239,0)</f>
        <v>0</v>
      </c>
      <c r="F184" s="155">
        <f>IFERROR(-F328/F239,0)</f>
        <v>0</v>
      </c>
      <c r="G184" s="155">
        <f>IFERROR(-G328/G239,0)</f>
        <v>0</v>
      </c>
      <c r="H184" s="155">
        <f>IFERROR(-H328/H239,0)</f>
        <v>1.8302828618968391E-2</v>
      </c>
      <c r="I184" s="221">
        <f>IFERROR(-I328/I239,0)</f>
        <v>3.475935828877004E-2</v>
      </c>
      <c r="J184" s="192">
        <f>AVERAGE(H184,I184)</f>
        <v>2.6531093453869215E-2</v>
      </c>
      <c r="K184" s="192">
        <f>+J184</f>
        <v>2.6531093453869215E-2</v>
      </c>
      <c r="L184" s="192">
        <f t="shared" ref="L184:N184" si="126">+K184</f>
        <v>2.6531093453869215E-2</v>
      </c>
      <c r="M184" s="192">
        <f t="shared" si="126"/>
        <v>2.6531093453869215E-2</v>
      </c>
      <c r="N184" s="192">
        <f t="shared" si="126"/>
        <v>2.6531093453869215E-2</v>
      </c>
      <c r="P184" s="317"/>
      <c r="Q184" s="317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  <c r="AB184" s="317"/>
    </row>
    <row r="185" spans="2:28" outlineLevel="1" x14ac:dyDescent="0.3">
      <c r="C185" s="30" t="s">
        <v>205</v>
      </c>
      <c r="D185" s="80" t="s">
        <v>74</v>
      </c>
      <c r="E185" s="118">
        <f>+E329</f>
        <v>0</v>
      </c>
      <c r="F185" s="118">
        <f t="shared" ref="F185:I185" si="127">+F329</f>
        <v>-8.1999999999999993</v>
      </c>
      <c r="G185" s="118">
        <f t="shared" si="127"/>
        <v>-12.7</v>
      </c>
      <c r="H185" s="118">
        <f t="shared" si="127"/>
        <v>0</v>
      </c>
      <c r="I185" s="177">
        <f t="shared" si="127"/>
        <v>-76.3</v>
      </c>
      <c r="J185" s="141">
        <v>0</v>
      </c>
      <c r="K185" s="191">
        <f>+J185</f>
        <v>0</v>
      </c>
      <c r="L185" s="191">
        <f t="shared" ref="L185:N185" si="128">+K185</f>
        <v>0</v>
      </c>
      <c r="M185" s="191">
        <f t="shared" si="128"/>
        <v>0</v>
      </c>
      <c r="N185" s="191">
        <f t="shared" si="128"/>
        <v>0</v>
      </c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</row>
    <row r="186" spans="2:28" outlineLevel="1" x14ac:dyDescent="0.3"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</row>
    <row r="187" spans="2:28" outlineLevel="1" x14ac:dyDescent="0.3">
      <c r="C187" s="37" t="s">
        <v>221</v>
      </c>
      <c r="D187" s="80" t="s">
        <v>74</v>
      </c>
      <c r="E187" s="154">
        <v>0</v>
      </c>
      <c r="F187" s="154">
        <v>0</v>
      </c>
      <c r="G187" s="154">
        <v>0</v>
      </c>
      <c r="H187" s="154">
        <v>0</v>
      </c>
      <c r="I187" s="206">
        <v>0</v>
      </c>
      <c r="J187" s="141">
        <v>0</v>
      </c>
      <c r="K187" s="191">
        <f t="shared" ref="K187:N187" si="129">+J187</f>
        <v>0</v>
      </c>
      <c r="L187" s="191">
        <f t="shared" si="129"/>
        <v>0</v>
      </c>
      <c r="M187" s="191">
        <f t="shared" si="129"/>
        <v>0</v>
      </c>
      <c r="N187" s="191">
        <f t="shared" si="129"/>
        <v>0</v>
      </c>
      <c r="P187" s="317"/>
      <c r="Q187" s="317"/>
      <c r="R187" s="317"/>
      <c r="S187" s="317"/>
      <c r="T187" s="317"/>
      <c r="U187" s="317"/>
      <c r="V187" s="317"/>
      <c r="W187" s="317"/>
      <c r="X187" s="317"/>
      <c r="Y187" s="317"/>
      <c r="Z187" s="317"/>
      <c r="AA187" s="317"/>
      <c r="AB187" s="317"/>
    </row>
    <row r="188" spans="2:28" outlineLevel="1" x14ac:dyDescent="0.3">
      <c r="C188" s="37" t="s">
        <v>226</v>
      </c>
      <c r="D188" s="80" t="s">
        <v>74</v>
      </c>
      <c r="E188" s="118">
        <f>+E335</f>
        <v>0</v>
      </c>
      <c r="F188" s="118">
        <f t="shared" ref="F188:I188" si="130">+F335</f>
        <v>0</v>
      </c>
      <c r="G188" s="118">
        <f t="shared" si="130"/>
        <v>-325.10000000000002</v>
      </c>
      <c r="H188" s="118">
        <f t="shared" si="130"/>
        <v>0</v>
      </c>
      <c r="I188" s="177">
        <f t="shared" si="130"/>
        <v>-138.19999999999999</v>
      </c>
      <c r="J188" s="141">
        <v>0</v>
      </c>
      <c r="K188" s="191">
        <f t="shared" ref="K188:N188" si="131">+J188</f>
        <v>0</v>
      </c>
      <c r="L188" s="191">
        <f t="shared" si="131"/>
        <v>0</v>
      </c>
      <c r="M188" s="191">
        <f t="shared" si="131"/>
        <v>0</v>
      </c>
      <c r="N188" s="191">
        <f t="shared" si="131"/>
        <v>0</v>
      </c>
      <c r="P188" s="321"/>
      <c r="Q188" s="321"/>
      <c r="R188" s="321"/>
      <c r="S188" s="321"/>
      <c r="T188" s="321"/>
      <c r="U188" s="321"/>
      <c r="V188" s="321"/>
      <c r="W188" s="321"/>
      <c r="X188" s="321"/>
      <c r="Y188" s="321"/>
      <c r="Z188" s="321"/>
      <c r="AA188" s="317"/>
      <c r="AB188" s="317"/>
    </row>
    <row r="189" spans="2:28" x14ac:dyDescent="0.3">
      <c r="P189" s="317"/>
      <c r="Q189" s="317"/>
      <c r="R189" s="317"/>
      <c r="S189" s="317"/>
      <c r="T189" s="317"/>
      <c r="U189" s="317"/>
      <c r="V189" s="317"/>
      <c r="W189" s="317"/>
      <c r="X189" s="317"/>
      <c r="Y189" s="317"/>
      <c r="Z189" s="317"/>
      <c r="AA189" s="317"/>
      <c r="AB189" s="317"/>
    </row>
    <row r="190" spans="2:28" x14ac:dyDescent="0.3">
      <c r="B190" s="103"/>
      <c r="C190" s="103"/>
      <c r="D190" s="104"/>
      <c r="E190" s="20" t="str">
        <f>+Loans!$E$65</f>
        <v>Historical</v>
      </c>
      <c r="F190" s="20"/>
      <c r="G190" s="20"/>
      <c r="H190" s="20"/>
      <c r="I190" s="20"/>
      <c r="J190" s="22" t="str">
        <f>+Loans!$J$65</f>
        <v>Projected</v>
      </c>
      <c r="K190" s="20"/>
      <c r="L190" s="20"/>
      <c r="M190" s="20"/>
      <c r="N190" s="20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</row>
    <row r="191" spans="2:28" x14ac:dyDescent="0.3">
      <c r="B191" s="83" t="s">
        <v>126</v>
      </c>
      <c r="C191" s="83"/>
      <c r="D191" s="85" t="str">
        <f>+Loans!$D$6</f>
        <v>Units:</v>
      </c>
      <c r="E191" s="89">
        <f>Loans!$E$6</f>
        <v>40543</v>
      </c>
      <c r="F191" s="89">
        <f>Loans!$F$6</f>
        <v>40908</v>
      </c>
      <c r="G191" s="89">
        <f>Loans!$G$6</f>
        <v>41274</v>
      </c>
      <c r="H191" s="89">
        <f>Loans!$H$6</f>
        <v>41639</v>
      </c>
      <c r="I191" s="90">
        <f>Loans!$I$6</f>
        <v>42004</v>
      </c>
      <c r="J191" s="89">
        <f>Loans!$J$6</f>
        <v>42369</v>
      </c>
      <c r="K191" s="89">
        <f>Loans!$K$6</f>
        <v>42735</v>
      </c>
      <c r="L191" s="89">
        <f>Loans!$L$6</f>
        <v>43100</v>
      </c>
      <c r="M191" s="89">
        <f>Loans!$M$6</f>
        <v>43465</v>
      </c>
      <c r="N191" s="89">
        <f>Loans!$N$6</f>
        <v>43830</v>
      </c>
      <c r="P191" s="320" t="s">
        <v>406</v>
      </c>
      <c r="Q191" s="320"/>
      <c r="R191" s="320"/>
      <c r="S191" s="320"/>
      <c r="T191" s="320"/>
      <c r="U191" s="320"/>
      <c r="V191" s="320"/>
      <c r="W191" s="320"/>
      <c r="X191" s="320"/>
      <c r="Y191" s="320"/>
      <c r="Z191" s="320"/>
      <c r="AA191" s="317"/>
      <c r="AB191" s="317"/>
    </row>
    <row r="192" spans="2:28" outlineLevel="1" x14ac:dyDescent="0.3">
      <c r="I192" s="110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B192" s="317"/>
    </row>
    <row r="193" spans="3:28" outlineLevel="1" x14ac:dyDescent="0.3">
      <c r="C193" s="150" t="s">
        <v>231</v>
      </c>
      <c r="D193" s="80" t="s">
        <v>74</v>
      </c>
      <c r="I193" s="110"/>
      <c r="J193" s="144">
        <f ca="1">+I296+J257+J334+J335+J337-J277</f>
        <v>303.84022256082926</v>
      </c>
      <c r="K193" s="144">
        <f t="shared" ref="K193:N193" ca="1" si="132">+J296+K257+K334+K335+K337-K277</f>
        <v>388.16326286404222</v>
      </c>
      <c r="L193" s="144">
        <f ca="1">+K296+L257+L334+L335+L337-L277</f>
        <v>475.86192782761429</v>
      </c>
      <c r="M193" s="144">
        <f t="shared" ca="1" si="132"/>
        <v>557.04840284071952</v>
      </c>
      <c r="N193" s="144">
        <f t="shared" ca="1" si="132"/>
        <v>637.18182448804509</v>
      </c>
      <c r="P193" s="317"/>
      <c r="Q193" s="317" t="s">
        <v>407</v>
      </c>
      <c r="R193" s="317"/>
      <c r="S193" s="317"/>
      <c r="T193" s="317"/>
      <c r="U193" s="317"/>
      <c r="V193" s="317"/>
      <c r="W193" s="317"/>
      <c r="X193" s="317"/>
      <c r="Y193" s="317"/>
      <c r="Z193" s="317"/>
      <c r="AB193" s="317"/>
    </row>
    <row r="194" spans="3:28" outlineLevel="1" x14ac:dyDescent="0.3">
      <c r="C194" s="150" t="s">
        <v>230</v>
      </c>
      <c r="D194" s="80" t="s">
        <v>74</v>
      </c>
      <c r="E194" s="118">
        <f t="shared" ref="E194:I194" si="133">+E43</f>
        <v>11.327999999999999</v>
      </c>
      <c r="F194" s="118">
        <f t="shared" si="133"/>
        <v>53.637</v>
      </c>
      <c r="G194" s="118">
        <f t="shared" si="133"/>
        <v>479</v>
      </c>
      <c r="H194" s="118">
        <f t="shared" si="133"/>
        <v>822</v>
      </c>
      <c r="I194" s="177">
        <f t="shared" si="133"/>
        <v>1461</v>
      </c>
      <c r="J194" s="118">
        <f ca="1">+J43</f>
        <v>1728.9342326551618</v>
      </c>
      <c r="K194" s="118">
        <f t="shared" ref="K194:N194" ca="1" si="134">+K43</f>
        <v>2254.213577745506</v>
      </c>
      <c r="L194" s="118">
        <f t="shared" ca="1" si="134"/>
        <v>3005.5515243617683</v>
      </c>
      <c r="M194" s="118">
        <f t="shared" ca="1" si="134"/>
        <v>3564.1965068695094</v>
      </c>
      <c r="N194" s="118">
        <f t="shared" ca="1" si="134"/>
        <v>4165.348064684059</v>
      </c>
      <c r="P194" s="317"/>
      <c r="Q194" s="317" t="s">
        <v>408</v>
      </c>
      <c r="R194" s="317"/>
      <c r="S194" s="317"/>
      <c r="T194" s="317"/>
      <c r="U194" s="317"/>
      <c r="V194" s="317"/>
      <c r="W194" s="317"/>
      <c r="X194" s="317"/>
      <c r="Y194" s="317"/>
      <c r="Z194" s="317"/>
      <c r="AB194" s="317"/>
    </row>
    <row r="195" spans="3:28" outlineLevel="1" x14ac:dyDescent="0.3">
      <c r="C195" s="150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P195" s="317"/>
      <c r="Q195" s="317" t="s">
        <v>409</v>
      </c>
      <c r="R195" s="317"/>
      <c r="S195" s="317"/>
      <c r="T195" s="317"/>
      <c r="U195" s="317"/>
      <c r="V195" s="317"/>
      <c r="W195" s="317"/>
      <c r="X195" s="317"/>
      <c r="Y195" s="317"/>
      <c r="Z195" s="317"/>
      <c r="AB195" s="317"/>
    </row>
    <row r="196" spans="3:28" outlineLevel="1" x14ac:dyDescent="0.3">
      <c r="C196" s="72" t="s">
        <v>232</v>
      </c>
      <c r="D196" s="80" t="s">
        <v>84</v>
      </c>
      <c r="I196" s="110"/>
      <c r="J196" s="143">
        <v>4.4999999999999998E-2</v>
      </c>
      <c r="K196" s="143">
        <v>4.4999999999999998E-2</v>
      </c>
      <c r="L196" s="143">
        <v>4.4999999999999998E-2</v>
      </c>
      <c r="M196" s="143">
        <v>4.4999999999999998E-2</v>
      </c>
      <c r="N196" s="143">
        <v>4.4999999999999998E-2</v>
      </c>
      <c r="P196" s="317"/>
      <c r="Q196" s="317" t="s">
        <v>410</v>
      </c>
      <c r="R196" s="317"/>
      <c r="S196" s="317"/>
      <c r="T196" s="317"/>
      <c r="U196" s="317"/>
      <c r="V196" s="317"/>
      <c r="W196" s="317"/>
      <c r="X196" s="317"/>
      <c r="Y196" s="317"/>
      <c r="Z196" s="317"/>
      <c r="AB196" s="317"/>
    </row>
    <row r="197" spans="3:28" outlineLevel="1" x14ac:dyDescent="0.3">
      <c r="C197" s="72" t="s">
        <v>233</v>
      </c>
      <c r="D197" s="80" t="s">
        <v>84</v>
      </c>
      <c r="I197" s="110"/>
      <c r="J197" s="151">
        <v>0</v>
      </c>
      <c r="K197" s="151">
        <v>6.2500000000000003E-3</v>
      </c>
      <c r="L197" s="151">
        <v>1.2500000000000001E-2</v>
      </c>
      <c r="M197" s="151">
        <v>1.8749999999999999E-2</v>
      </c>
      <c r="N197" s="151">
        <v>2.5000000000000001E-2</v>
      </c>
      <c r="P197" s="317"/>
      <c r="Q197" s="317"/>
      <c r="R197" s="317"/>
      <c r="S197" s="317"/>
      <c r="T197" s="317"/>
      <c r="U197" s="317"/>
      <c r="V197" s="317"/>
      <c r="W197" s="317"/>
      <c r="X197" s="317"/>
      <c r="Y197" s="317"/>
      <c r="Z197" s="317"/>
      <c r="AB197" s="317"/>
    </row>
    <row r="198" spans="3:28" outlineLevel="1" x14ac:dyDescent="0.3">
      <c r="C198" s="72" t="s">
        <v>234</v>
      </c>
      <c r="D198" s="80" t="s">
        <v>84</v>
      </c>
      <c r="I198" s="110"/>
      <c r="J198" s="151">
        <v>0</v>
      </c>
      <c r="K198" s="151">
        <v>6.2500000000000003E-3</v>
      </c>
      <c r="L198" s="151">
        <v>1.2500000000000001E-2</v>
      </c>
      <c r="M198" s="151">
        <v>1.8749999999999999E-2</v>
      </c>
      <c r="N198" s="151">
        <v>2.5000000000000001E-2</v>
      </c>
      <c r="P198" s="317"/>
      <c r="Q198" s="317" t="s">
        <v>411</v>
      </c>
      <c r="R198" s="317"/>
      <c r="S198" s="317"/>
      <c r="T198" s="317"/>
      <c r="U198" s="317"/>
      <c r="V198" s="317"/>
      <c r="W198" s="317"/>
      <c r="X198" s="317"/>
      <c r="Y198" s="317"/>
      <c r="Z198" s="317"/>
      <c r="AA198" s="317"/>
      <c r="AB198" s="317"/>
    </row>
    <row r="199" spans="3:28" outlineLevel="1" x14ac:dyDescent="0.3">
      <c r="C199" s="72" t="s">
        <v>335</v>
      </c>
      <c r="D199" s="80" t="s">
        <v>84</v>
      </c>
      <c r="I199" s="110"/>
      <c r="J199" s="143">
        <v>0</v>
      </c>
      <c r="K199" s="143">
        <v>0</v>
      </c>
      <c r="L199" s="143">
        <v>0</v>
      </c>
      <c r="M199" s="143">
        <v>0</v>
      </c>
      <c r="N199" s="143">
        <v>0</v>
      </c>
      <c r="P199" s="317"/>
      <c r="Q199" s="317" t="s">
        <v>412</v>
      </c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</row>
    <row r="200" spans="3:28" outlineLevel="1" x14ac:dyDescent="0.3">
      <c r="C200" s="72" t="s">
        <v>235</v>
      </c>
      <c r="D200" s="81" t="s">
        <v>84</v>
      </c>
      <c r="I200" s="110"/>
      <c r="J200" s="155">
        <f>+J201-SUM(J196:J199)</f>
        <v>8.5000000000000006E-2</v>
      </c>
      <c r="K200" s="155">
        <f t="shared" ref="K200:N200" si="135">+K201-SUM(K196:K199)</f>
        <v>7.2500000000000009E-2</v>
      </c>
      <c r="L200" s="155">
        <f t="shared" si="135"/>
        <v>6.0000000000000012E-2</v>
      </c>
      <c r="M200" s="155">
        <f t="shared" si="135"/>
        <v>4.7500000000000001E-2</v>
      </c>
      <c r="N200" s="155">
        <f t="shared" si="135"/>
        <v>3.5000000000000003E-2</v>
      </c>
      <c r="P200" s="317"/>
      <c r="Q200" s="317" t="s">
        <v>413</v>
      </c>
      <c r="R200" s="317"/>
      <c r="S200" s="317"/>
      <c r="T200" s="317"/>
      <c r="U200" s="317"/>
      <c r="V200" s="317"/>
      <c r="W200" s="317"/>
      <c r="X200" s="317"/>
      <c r="Y200" s="317"/>
      <c r="Z200" s="317"/>
      <c r="AA200" s="317"/>
      <c r="AB200" s="317"/>
    </row>
    <row r="201" spans="3:28" outlineLevel="1" x14ac:dyDescent="0.3">
      <c r="C201" s="119" t="s">
        <v>366</v>
      </c>
      <c r="D201" s="80" t="s">
        <v>74</v>
      </c>
      <c r="E201" s="120"/>
      <c r="F201" s="120"/>
      <c r="G201" s="120"/>
      <c r="H201" s="120"/>
      <c r="I201" s="119"/>
      <c r="J201" s="231">
        <f>+Min_CET_1</f>
        <v>0.13</v>
      </c>
      <c r="K201" s="231">
        <f>+Min_CET_1</f>
        <v>0.13</v>
      </c>
      <c r="L201" s="231">
        <f>+Min_CET_1</f>
        <v>0.13</v>
      </c>
      <c r="M201" s="231">
        <f>+Min_CET_1</f>
        <v>0.13</v>
      </c>
      <c r="N201" s="231">
        <f>+Min_CET_1</f>
        <v>0.13</v>
      </c>
      <c r="P201" s="317"/>
      <c r="Q201" s="317" t="s">
        <v>414</v>
      </c>
      <c r="R201" s="317"/>
      <c r="S201" s="317"/>
      <c r="T201" s="317"/>
      <c r="U201" s="317"/>
      <c r="V201" s="317"/>
      <c r="W201" s="317"/>
      <c r="X201" s="317"/>
      <c r="Y201" s="317"/>
      <c r="Z201" s="317"/>
      <c r="AB201" s="317"/>
    </row>
    <row r="202" spans="3:28" outlineLevel="1" x14ac:dyDescent="0.3">
      <c r="C202" s="72" t="s">
        <v>237</v>
      </c>
      <c r="D202" s="81" t="s">
        <v>74</v>
      </c>
      <c r="I202" s="110"/>
      <c r="J202" s="152">
        <f ca="1">+J201*IF(Circ_Ref,J194,I194)</f>
        <v>224.76145024517106</v>
      </c>
      <c r="K202" s="152">
        <f ca="1">+K201*IF(Circ_Ref,K194,J194)</f>
        <v>293.04776510691579</v>
      </c>
      <c r="L202" s="152">
        <f ca="1">+L201*IF(Circ_Ref,L194,K194)</f>
        <v>390.7216981670299</v>
      </c>
      <c r="M202" s="152">
        <f ca="1">+M201*IF(Circ_Ref,M194,L194)</f>
        <v>463.34554589303622</v>
      </c>
      <c r="N202" s="152">
        <f ca="1">+N201*IF(Circ_Ref,N194,M194)</f>
        <v>541.49524840892764</v>
      </c>
      <c r="P202" s="317"/>
      <c r="Q202" s="317"/>
      <c r="R202" s="317"/>
      <c r="S202" s="317"/>
      <c r="T202" s="317"/>
      <c r="U202" s="317"/>
      <c r="V202" s="317"/>
      <c r="W202" s="317"/>
      <c r="X202" s="317"/>
      <c r="Y202" s="317"/>
      <c r="Z202" s="317"/>
      <c r="AB202" s="317"/>
    </row>
    <row r="203" spans="3:28" outlineLevel="1" x14ac:dyDescent="0.3">
      <c r="C203" s="119" t="s">
        <v>236</v>
      </c>
      <c r="D203" s="80" t="s">
        <v>74</v>
      </c>
      <c r="E203" s="120"/>
      <c r="F203" s="120"/>
      <c r="G203" s="120"/>
      <c r="H203" s="120"/>
      <c r="I203" s="119"/>
      <c r="J203" s="153">
        <f ca="1">MAX(J193-J202,0)</f>
        <v>79.078772315658199</v>
      </c>
      <c r="K203" s="153">
        <f t="shared" ref="K203:N203" ca="1" si="136">MAX(K193-K202,0)</f>
        <v>95.115497757126434</v>
      </c>
      <c r="L203" s="153">
        <f t="shared" ca="1" si="136"/>
        <v>85.140229660584396</v>
      </c>
      <c r="M203" s="153">
        <f t="shared" ca="1" si="136"/>
        <v>93.702856947683301</v>
      </c>
      <c r="N203" s="153">
        <f t="shared" ca="1" si="136"/>
        <v>95.686576079117458</v>
      </c>
      <c r="P203" s="317"/>
      <c r="Q203" s="317" t="s">
        <v>415</v>
      </c>
      <c r="R203" s="317"/>
      <c r="S203" s="317"/>
      <c r="T203" s="317"/>
      <c r="U203" s="317"/>
      <c r="V203" s="317"/>
      <c r="W203" s="317"/>
      <c r="X203" s="317"/>
      <c r="Y203" s="317"/>
      <c r="Z203" s="317"/>
      <c r="AB203" s="317"/>
    </row>
    <row r="204" spans="3:28" outlineLevel="1" x14ac:dyDescent="0.3">
      <c r="I204" s="110"/>
      <c r="Q204" s="317" t="s">
        <v>416</v>
      </c>
      <c r="AA204" s="317"/>
      <c r="AB204" s="317"/>
    </row>
    <row r="205" spans="3:28" outlineLevel="1" x14ac:dyDescent="0.3">
      <c r="C205" s="101" t="s">
        <v>238</v>
      </c>
      <c r="D205" s="80" t="s">
        <v>84</v>
      </c>
      <c r="I205" s="110"/>
      <c r="J205" s="143">
        <v>0</v>
      </c>
      <c r="K205" s="143">
        <v>0.1</v>
      </c>
      <c r="L205" s="143">
        <v>0.3</v>
      </c>
      <c r="M205" s="143">
        <v>0.35</v>
      </c>
      <c r="N205" s="143">
        <v>0.4</v>
      </c>
      <c r="P205" s="318"/>
      <c r="Q205" s="317" t="s">
        <v>417</v>
      </c>
      <c r="R205" s="318"/>
      <c r="S205" s="318"/>
      <c r="T205" s="318"/>
      <c r="U205" s="318"/>
      <c r="V205" s="318"/>
      <c r="W205" s="318"/>
      <c r="X205" s="318"/>
      <c r="Y205" s="318"/>
      <c r="Z205" s="318"/>
      <c r="AA205" s="317"/>
      <c r="AB205" s="317"/>
    </row>
    <row r="206" spans="3:28" outlineLevel="1" x14ac:dyDescent="0.3">
      <c r="C206" s="4" t="s">
        <v>239</v>
      </c>
      <c r="D206" s="80" t="s">
        <v>74</v>
      </c>
      <c r="I206" s="110"/>
      <c r="J206" s="232">
        <f ca="1">+J205*J257</f>
        <v>0</v>
      </c>
      <c r="K206" s="232">
        <f t="shared" ref="K206:N206" ca="1" si="137">+K205*K257</f>
        <v>5.083142375989703</v>
      </c>
      <c r="L206" s="232">
        <f t="shared" ca="1" si="137"/>
        <v>17.947091490821638</v>
      </c>
      <c r="M206" s="232">
        <f t="shared" ca="1" si="137"/>
        <v>23.340729911425562</v>
      </c>
      <c r="N206" s="232">
        <f t="shared" ca="1" si="137"/>
        <v>28.539901284967584</v>
      </c>
      <c r="AB206" s="317"/>
    </row>
    <row r="207" spans="3:28" outlineLevel="1" x14ac:dyDescent="0.3">
      <c r="C207" s="110" t="s">
        <v>240</v>
      </c>
      <c r="D207" s="80" t="s">
        <v>74</v>
      </c>
      <c r="I207" s="110"/>
      <c r="J207" s="233">
        <f ca="1">MIN(J203,J206)</f>
        <v>0</v>
      </c>
      <c r="K207" s="233">
        <f t="shared" ref="K207:N207" ca="1" si="138">MIN(K203,K206)</f>
        <v>5.083142375989703</v>
      </c>
      <c r="L207" s="233">
        <f t="shared" ca="1" si="138"/>
        <v>17.947091490821638</v>
      </c>
      <c r="M207" s="233">
        <f t="shared" ca="1" si="138"/>
        <v>23.340729911425562</v>
      </c>
      <c r="N207" s="233">
        <f t="shared" ca="1" si="138"/>
        <v>28.539901284967584</v>
      </c>
      <c r="Q207" s="4" t="s">
        <v>418</v>
      </c>
      <c r="AB207" s="317"/>
    </row>
    <row r="208" spans="3:28" outlineLevel="1" x14ac:dyDescent="0.3">
      <c r="I208" s="110"/>
      <c r="Q208" s="4" t="s">
        <v>419</v>
      </c>
      <c r="AB208" s="317"/>
    </row>
    <row r="209" spans="2:28" outlineLevel="1" x14ac:dyDescent="0.3">
      <c r="C209" s="50" t="s">
        <v>244</v>
      </c>
      <c r="D209" s="80" t="s">
        <v>74</v>
      </c>
      <c r="E209" s="154">
        <v>0</v>
      </c>
      <c r="F209" s="154">
        <v>0</v>
      </c>
      <c r="G209" s="154">
        <v>0</v>
      </c>
      <c r="H209" s="154">
        <v>0</v>
      </c>
      <c r="I209" s="206">
        <v>0</v>
      </c>
      <c r="J209" s="141">
        <v>82</v>
      </c>
      <c r="K209" s="236">
        <v>0</v>
      </c>
      <c r="L209" s="235">
        <f>+K209</f>
        <v>0</v>
      </c>
      <c r="M209" s="235">
        <f t="shared" ref="M209:N209" si="139">+L209</f>
        <v>0</v>
      </c>
      <c r="N209" s="235">
        <f t="shared" si="139"/>
        <v>0</v>
      </c>
      <c r="AB209" s="317"/>
    </row>
    <row r="210" spans="2:28" outlineLevel="1" x14ac:dyDescent="0.3">
      <c r="C210" s="50" t="s">
        <v>227</v>
      </c>
      <c r="D210" s="81" t="s">
        <v>74</v>
      </c>
      <c r="E210" s="118">
        <f>+E337</f>
        <v>0</v>
      </c>
      <c r="F210" s="118">
        <f>+F337</f>
        <v>35</v>
      </c>
      <c r="G210" s="118">
        <f>+G337</f>
        <v>75</v>
      </c>
      <c r="H210" s="118">
        <f>+H337</f>
        <v>17.8</v>
      </c>
      <c r="I210" s="177">
        <f>+I337</f>
        <v>47.3</v>
      </c>
      <c r="J210" s="236">
        <v>10</v>
      </c>
      <c r="K210" s="235">
        <f>AVERAGE(F210:J210)</f>
        <v>37.019999999999996</v>
      </c>
      <c r="L210" s="235">
        <f>+K210</f>
        <v>37.019999999999996</v>
      </c>
      <c r="M210" s="235">
        <f t="shared" ref="M210:N210" si="140">+L210</f>
        <v>37.019999999999996</v>
      </c>
      <c r="N210" s="235">
        <f t="shared" si="140"/>
        <v>37.019999999999996</v>
      </c>
      <c r="Q210" s="4" t="s">
        <v>420</v>
      </c>
      <c r="AB210" s="317"/>
    </row>
    <row r="211" spans="2:28" outlineLevel="1" x14ac:dyDescent="0.3">
      <c r="C211" s="79" t="s">
        <v>245</v>
      </c>
      <c r="D211" s="80" t="s">
        <v>74</v>
      </c>
      <c r="E211" s="165">
        <f t="shared" ref="E211:I211" si="141">SUM(E209:E210)</f>
        <v>0</v>
      </c>
      <c r="F211" s="165">
        <f t="shared" si="141"/>
        <v>35</v>
      </c>
      <c r="G211" s="165">
        <f t="shared" si="141"/>
        <v>75</v>
      </c>
      <c r="H211" s="165">
        <f t="shared" si="141"/>
        <v>17.8</v>
      </c>
      <c r="I211" s="165">
        <f t="shared" si="141"/>
        <v>47.3</v>
      </c>
      <c r="J211" s="165">
        <f>SUM(J209:J210)</f>
        <v>92</v>
      </c>
      <c r="K211" s="165">
        <f t="shared" ref="K211:N211" si="142">SUM(K209:K210)</f>
        <v>37.019999999999996</v>
      </c>
      <c r="L211" s="165">
        <f t="shared" si="142"/>
        <v>37.019999999999996</v>
      </c>
      <c r="M211" s="165">
        <f t="shared" si="142"/>
        <v>37.019999999999996</v>
      </c>
      <c r="N211" s="165">
        <f t="shared" si="142"/>
        <v>37.019999999999996</v>
      </c>
      <c r="AB211" s="317"/>
    </row>
    <row r="212" spans="2:28" outlineLevel="1" x14ac:dyDescent="0.3">
      <c r="I212" s="110"/>
      <c r="Q212" s="39" t="s">
        <v>421</v>
      </c>
      <c r="AB212" s="317"/>
    </row>
    <row r="213" spans="2:28" outlineLevel="1" x14ac:dyDescent="0.3">
      <c r="C213" s="26" t="s">
        <v>243</v>
      </c>
      <c r="D213" s="80" t="s">
        <v>241</v>
      </c>
      <c r="E213" s="154">
        <v>0</v>
      </c>
      <c r="F213" s="154">
        <v>0</v>
      </c>
      <c r="G213" s="154">
        <v>0</v>
      </c>
      <c r="H213" s="154">
        <v>0</v>
      </c>
      <c r="I213" s="206">
        <v>0</v>
      </c>
      <c r="J213" s="172">
        <f>31.034483+11.25</f>
        <v>42.284483000000002</v>
      </c>
      <c r="K213" s="191">
        <f>+K209/K217</f>
        <v>0</v>
      </c>
      <c r="L213" s="191">
        <f t="shared" ref="L213:N213" si="143">+L209/L217</f>
        <v>0</v>
      </c>
      <c r="M213" s="191">
        <f t="shared" si="143"/>
        <v>0</v>
      </c>
      <c r="N213" s="191">
        <f t="shared" si="143"/>
        <v>0</v>
      </c>
      <c r="Q213" s="4" t="s">
        <v>422</v>
      </c>
      <c r="AB213" s="317"/>
    </row>
    <row r="214" spans="2:28" outlineLevel="1" x14ac:dyDescent="0.3">
      <c r="C214" s="26" t="s">
        <v>48</v>
      </c>
      <c r="D214" s="81" t="s">
        <v>241</v>
      </c>
      <c r="E214" s="154">
        <v>0</v>
      </c>
      <c r="F214" s="154">
        <v>34.99</v>
      </c>
      <c r="G214" s="154">
        <v>75</v>
      </c>
      <c r="H214" s="154">
        <v>17.766999999999999</v>
      </c>
      <c r="I214" s="206">
        <v>47.296489999999999</v>
      </c>
      <c r="J214" s="206">
        <v>22.461624999999991</v>
      </c>
      <c r="K214" s="137">
        <f>+K210/K217</f>
        <v>11.307269395235185</v>
      </c>
      <c r="L214" s="137">
        <f t="shared" ref="L214:N214" si="144">+L210/L217</f>
        <v>11.307269395235185</v>
      </c>
      <c r="M214" s="137">
        <f t="shared" si="144"/>
        <v>11.307269395235185</v>
      </c>
      <c r="N214" s="137">
        <f t="shared" si="144"/>
        <v>11.307269395235185</v>
      </c>
      <c r="AB214" s="317"/>
    </row>
    <row r="215" spans="2:28" outlineLevel="1" x14ac:dyDescent="0.3">
      <c r="C215" s="119" t="s">
        <v>246</v>
      </c>
      <c r="D215" s="80" t="s">
        <v>241</v>
      </c>
      <c r="E215" s="165">
        <f>SUM(E213:E214)</f>
        <v>0</v>
      </c>
      <c r="F215" s="165">
        <f t="shared" ref="F215:I215" si="145">SUM(F213:F214)</f>
        <v>34.99</v>
      </c>
      <c r="G215" s="165">
        <f t="shared" si="145"/>
        <v>75</v>
      </c>
      <c r="H215" s="165">
        <f t="shared" si="145"/>
        <v>17.766999999999999</v>
      </c>
      <c r="I215" s="165">
        <f t="shared" si="145"/>
        <v>47.296489999999999</v>
      </c>
      <c r="J215" s="165">
        <f>SUM(J213:J214)</f>
        <v>64.746107999999992</v>
      </c>
      <c r="K215" s="165">
        <f>SUM(K213:K214)</f>
        <v>11.307269395235185</v>
      </c>
      <c r="L215" s="165">
        <f t="shared" ref="L215:N215" si="146">SUM(L213:L214)</f>
        <v>11.307269395235185</v>
      </c>
      <c r="M215" s="165">
        <f t="shared" si="146"/>
        <v>11.307269395235185</v>
      </c>
      <c r="N215" s="165">
        <f t="shared" si="146"/>
        <v>11.307269395235185</v>
      </c>
      <c r="P215" s="320" t="s">
        <v>423</v>
      </c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17"/>
      <c r="AB215" s="317"/>
    </row>
    <row r="216" spans="2:28" outlineLevel="1" x14ac:dyDescent="0.3">
      <c r="I216" s="110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  <c r="AA216" s="317"/>
      <c r="AB216" s="317"/>
    </row>
    <row r="217" spans="2:28" outlineLevel="1" x14ac:dyDescent="0.3">
      <c r="C217" s="30" t="s">
        <v>242</v>
      </c>
      <c r="D217" s="80" t="s">
        <v>247</v>
      </c>
      <c r="E217" s="234" t="str">
        <f>IFERROR(+E210/E214,"N/A")</f>
        <v>N/A</v>
      </c>
      <c r="F217" s="234">
        <f>IFERROR(+F210/F214,"N/A")</f>
        <v>1.0002857959416975</v>
      </c>
      <c r="G217" s="234">
        <f>IFERROR(+G210/G214,"N/A")</f>
        <v>1</v>
      </c>
      <c r="H217" s="234">
        <f>IFERROR(+H210/H214,"N/A")</f>
        <v>1.0018573760342209</v>
      </c>
      <c r="I217" s="293">
        <f>IFERROR(+I210/I214,"N/A")</f>
        <v>1.0000742126952762</v>
      </c>
      <c r="J217" s="234">
        <f>+Share_Price</f>
        <v>3.274</v>
      </c>
      <c r="K217" s="234">
        <f>+Share_Price</f>
        <v>3.274</v>
      </c>
      <c r="L217" s="234">
        <f>+Share_Price</f>
        <v>3.274</v>
      </c>
      <c r="M217" s="234">
        <f>+Share_Price</f>
        <v>3.274</v>
      </c>
      <c r="N217" s="234">
        <f>+Share_Price</f>
        <v>3.274</v>
      </c>
      <c r="P217" s="317"/>
      <c r="Q217" s="317" t="s">
        <v>465</v>
      </c>
      <c r="R217" s="317"/>
      <c r="S217" s="317"/>
      <c r="T217" s="317"/>
      <c r="U217" s="317"/>
      <c r="V217" s="317"/>
      <c r="W217" s="317"/>
      <c r="X217" s="317"/>
      <c r="Y217" s="317"/>
      <c r="Z217" s="317"/>
      <c r="AA217" s="317"/>
      <c r="AB217" s="317"/>
    </row>
    <row r="218" spans="2:28" x14ac:dyDescent="0.3">
      <c r="P218" s="317"/>
      <c r="Q218" s="317" t="s">
        <v>424</v>
      </c>
      <c r="R218" s="317"/>
      <c r="S218" s="317"/>
      <c r="T218" s="317"/>
      <c r="U218" s="317"/>
      <c r="V218" s="317"/>
      <c r="W218" s="317"/>
      <c r="X218" s="317"/>
      <c r="Y218" s="317"/>
      <c r="Z218" s="317"/>
      <c r="AA218" s="317"/>
      <c r="AB218" s="317"/>
    </row>
    <row r="219" spans="2:28" s="5" customFormat="1" x14ac:dyDescent="0.3">
      <c r="B219" s="21"/>
      <c r="C219" s="103"/>
      <c r="D219" s="104"/>
      <c r="E219" s="20" t="str">
        <f>+Loans!$E$65</f>
        <v>Historical</v>
      </c>
      <c r="F219" s="20"/>
      <c r="G219" s="20"/>
      <c r="H219" s="20"/>
      <c r="I219" s="20"/>
      <c r="J219" s="22" t="str">
        <f>+Loans!$J$65</f>
        <v>Projected</v>
      </c>
      <c r="K219" s="20"/>
      <c r="L219" s="20"/>
      <c r="M219" s="20"/>
      <c r="N219" s="20"/>
      <c r="O219" s="4"/>
      <c r="P219" s="321"/>
      <c r="Q219" s="321"/>
      <c r="R219" s="321"/>
      <c r="S219" s="321"/>
      <c r="T219" s="321"/>
      <c r="U219" s="321"/>
      <c r="V219" s="321"/>
      <c r="W219" s="321"/>
      <c r="X219" s="321"/>
      <c r="Y219" s="321"/>
      <c r="Z219" s="321"/>
      <c r="AA219" s="317"/>
      <c r="AB219" s="317"/>
    </row>
    <row r="220" spans="2:28" x14ac:dyDescent="0.3">
      <c r="B220" s="83" t="s">
        <v>49</v>
      </c>
      <c r="C220" s="83"/>
      <c r="D220" s="85" t="str">
        <f>+Loans!$D$6</f>
        <v>Units:</v>
      </c>
      <c r="E220" s="89">
        <f>Loans!$E$6</f>
        <v>40543</v>
      </c>
      <c r="F220" s="89">
        <f>Loans!$F$6</f>
        <v>40908</v>
      </c>
      <c r="G220" s="89">
        <f>Loans!$G$6</f>
        <v>41274</v>
      </c>
      <c r="H220" s="89">
        <f>Loans!$H$6</f>
        <v>41639</v>
      </c>
      <c r="I220" s="90">
        <f>Loans!$I$6</f>
        <v>42004</v>
      </c>
      <c r="J220" s="89">
        <f>Loans!$J$6</f>
        <v>42369</v>
      </c>
      <c r="K220" s="89">
        <f>Loans!$K$6</f>
        <v>42735</v>
      </c>
      <c r="L220" s="89">
        <f>Loans!$L$6</f>
        <v>43100</v>
      </c>
      <c r="M220" s="89">
        <f>Loans!$M$6</f>
        <v>43465</v>
      </c>
      <c r="N220" s="89">
        <f>Loans!$N$6</f>
        <v>43830</v>
      </c>
      <c r="P220" s="317"/>
      <c r="Q220" s="317" t="s">
        <v>466</v>
      </c>
      <c r="R220" s="317"/>
      <c r="S220" s="317"/>
      <c r="T220" s="317"/>
      <c r="U220" s="317"/>
      <c r="V220" s="317"/>
      <c r="W220" s="317"/>
      <c r="X220" s="317"/>
      <c r="Y220" s="317"/>
      <c r="Z220" s="317"/>
      <c r="AA220" s="317"/>
      <c r="AB220" s="317"/>
    </row>
    <row r="221" spans="2:28" outlineLevel="1" x14ac:dyDescent="0.3">
      <c r="B221" s="42"/>
      <c r="C221" s="173" t="s">
        <v>27</v>
      </c>
      <c r="D221" s="112"/>
      <c r="E221" s="34"/>
      <c r="F221" s="34"/>
      <c r="G221" s="34"/>
      <c r="H221" s="34"/>
      <c r="I221" s="86"/>
      <c r="J221" s="34"/>
      <c r="K221" s="34"/>
      <c r="L221" s="34"/>
      <c r="M221" s="34"/>
      <c r="N221" s="34"/>
      <c r="O221" s="42"/>
      <c r="P221" s="317"/>
      <c r="Q221" s="317"/>
      <c r="R221" s="317"/>
      <c r="S221" s="317"/>
      <c r="T221" s="317"/>
      <c r="U221" s="317"/>
      <c r="V221" s="317"/>
      <c r="W221" s="317"/>
      <c r="X221" s="317"/>
      <c r="Y221" s="317"/>
      <c r="Z221" s="317"/>
      <c r="AA221" s="317"/>
      <c r="AB221" s="317"/>
    </row>
    <row r="222" spans="2:28" outlineLevel="1" x14ac:dyDescent="0.3">
      <c r="C222" s="174" t="s">
        <v>108</v>
      </c>
      <c r="D222" s="80" t="s">
        <v>74</v>
      </c>
      <c r="E222" s="117">
        <f t="shared" ref="E222:I222" si="147">+E57</f>
        <v>1.5</v>
      </c>
      <c r="F222" s="117">
        <f t="shared" si="147"/>
        <v>4.8</v>
      </c>
      <c r="G222" s="117">
        <f t="shared" si="147"/>
        <v>48.4</v>
      </c>
      <c r="H222" s="117">
        <f t="shared" si="147"/>
        <v>93.3</v>
      </c>
      <c r="I222" s="124">
        <f t="shared" si="147"/>
        <v>156.70000000000002</v>
      </c>
      <c r="J222" s="117">
        <f t="shared" ref="J222:N222" ca="1" si="148">+J57</f>
        <v>197.54632022306825</v>
      </c>
      <c r="K222" s="117">
        <f t="shared" ca="1" si="148"/>
        <v>226.73429528294636</v>
      </c>
      <c r="L222" s="117">
        <f t="shared" ca="1" si="148"/>
        <v>272.01152762856248</v>
      </c>
      <c r="M222" s="117">
        <f t="shared" ca="1" si="148"/>
        <v>318.75559265166174</v>
      </c>
      <c r="N222" s="117">
        <f t="shared" ca="1" si="148"/>
        <v>357.5700015067153</v>
      </c>
      <c r="P222" s="317"/>
      <c r="Q222" s="317" t="s">
        <v>467</v>
      </c>
      <c r="R222" s="317"/>
      <c r="S222" s="317"/>
      <c r="T222" s="317"/>
      <c r="U222" s="317"/>
      <c r="V222" s="317"/>
      <c r="W222" s="317"/>
      <c r="X222" s="317"/>
      <c r="Y222" s="317"/>
      <c r="Z222" s="317"/>
      <c r="AA222" s="317"/>
      <c r="AB222" s="317"/>
    </row>
    <row r="223" spans="2:28" outlineLevel="1" x14ac:dyDescent="0.3">
      <c r="C223" s="175" t="s">
        <v>109</v>
      </c>
      <c r="D223" s="81" t="s">
        <v>74</v>
      </c>
      <c r="E223" s="152">
        <f t="shared" ref="E223:I223" si="149">+E97</f>
        <v>-0.70899999999999996</v>
      </c>
      <c r="F223" s="152">
        <f t="shared" si="149"/>
        <v>-2.9969999999999999</v>
      </c>
      <c r="G223" s="152">
        <f t="shared" si="149"/>
        <v>-27.388000000000002</v>
      </c>
      <c r="H223" s="152">
        <f t="shared" si="149"/>
        <v>-38.400000000000006</v>
      </c>
      <c r="I223" s="193">
        <f t="shared" si="149"/>
        <v>-54.000000000000007</v>
      </c>
      <c r="J223" s="152">
        <f t="shared" ref="J223:N223" ca="1" si="150">+J97</f>
        <v>-71.562001147982301</v>
      </c>
      <c r="K223" s="152">
        <f t="shared" ca="1" si="150"/>
        <v>-87.014399485098892</v>
      </c>
      <c r="L223" s="152">
        <f t="shared" ca="1" si="150"/>
        <v>-111.42313057416365</v>
      </c>
      <c r="M223" s="152">
        <f t="shared" ca="1" si="150"/>
        <v>-138.26814423025201</v>
      </c>
      <c r="N223" s="152">
        <f t="shared" ca="1" si="150"/>
        <v>-165.15306624891073</v>
      </c>
      <c r="P223" s="317"/>
      <c r="Q223" s="317" t="s">
        <v>425</v>
      </c>
      <c r="R223" s="317"/>
      <c r="S223" s="317"/>
      <c r="T223" s="317"/>
      <c r="U223" s="317"/>
      <c r="V223" s="317"/>
      <c r="W223" s="317"/>
      <c r="X223" s="317"/>
      <c r="Y223" s="317"/>
      <c r="Z223" s="317"/>
      <c r="AA223" s="317"/>
      <c r="AB223" s="317"/>
    </row>
    <row r="224" spans="2:28" outlineLevel="1" x14ac:dyDescent="0.3">
      <c r="C224" s="176" t="s">
        <v>110</v>
      </c>
      <c r="D224" s="80" t="s">
        <v>74</v>
      </c>
      <c r="E224" s="177">
        <f>SUM(E222:E223)</f>
        <v>0.79100000000000004</v>
      </c>
      <c r="F224" s="177">
        <f t="shared" ref="F224:I224" si="151">SUM(F222:F223)</f>
        <v>1.8029999999999999</v>
      </c>
      <c r="G224" s="177">
        <f t="shared" si="151"/>
        <v>21.011999999999997</v>
      </c>
      <c r="H224" s="177">
        <f t="shared" si="151"/>
        <v>54.899999999999991</v>
      </c>
      <c r="I224" s="177">
        <f t="shared" si="151"/>
        <v>102.70000000000002</v>
      </c>
      <c r="J224" s="177">
        <f t="shared" ref="J224:N224" ca="1" si="152">SUM(J222:J223)</f>
        <v>125.98431907508595</v>
      </c>
      <c r="K224" s="177">
        <f t="shared" ca="1" si="152"/>
        <v>139.71989579784747</v>
      </c>
      <c r="L224" s="177">
        <f t="shared" ca="1" si="152"/>
        <v>160.58839705439883</v>
      </c>
      <c r="M224" s="177">
        <f t="shared" ca="1" si="152"/>
        <v>180.48744842140974</v>
      </c>
      <c r="N224" s="177">
        <f t="shared" ca="1" si="152"/>
        <v>192.41693525780457</v>
      </c>
      <c r="P224" s="317"/>
      <c r="Q224" s="317" t="s">
        <v>426</v>
      </c>
      <c r="R224" s="317"/>
      <c r="S224" s="317"/>
      <c r="T224" s="317"/>
      <c r="U224" s="317"/>
      <c r="V224" s="317"/>
      <c r="W224" s="317"/>
      <c r="X224" s="317"/>
      <c r="Y224" s="317"/>
      <c r="Z224" s="317"/>
      <c r="AA224" s="317"/>
      <c r="AB224" s="317"/>
    </row>
    <row r="225" spans="2:28" outlineLevel="1" x14ac:dyDescent="0.3">
      <c r="C225" s="110"/>
      <c r="E225" s="156"/>
      <c r="F225" s="156"/>
      <c r="G225" s="156"/>
      <c r="H225" s="156"/>
      <c r="I225" s="156"/>
      <c r="P225" s="317"/>
      <c r="Q225" s="317"/>
      <c r="R225" s="317"/>
      <c r="S225" s="317"/>
      <c r="T225" s="317"/>
      <c r="U225" s="317"/>
      <c r="V225" s="317"/>
      <c r="W225" s="317"/>
      <c r="X225" s="317"/>
      <c r="Y225" s="317"/>
      <c r="Z225" s="317"/>
      <c r="AA225" s="317"/>
      <c r="AB225" s="317"/>
    </row>
    <row r="226" spans="2:28" outlineLevel="1" x14ac:dyDescent="0.3">
      <c r="C226" s="110" t="s">
        <v>111</v>
      </c>
      <c r="E226" s="156"/>
      <c r="F226" s="156"/>
      <c r="G226" s="156"/>
      <c r="H226" s="156"/>
      <c r="I226" s="156"/>
      <c r="P226" s="321"/>
      <c r="Q226" s="321" t="s">
        <v>427</v>
      </c>
      <c r="R226" s="321"/>
      <c r="S226" s="321"/>
      <c r="T226" s="321"/>
      <c r="U226" s="321"/>
      <c r="V226" s="321"/>
      <c r="W226" s="321"/>
      <c r="X226" s="321"/>
      <c r="Y226" s="321"/>
      <c r="Z226" s="321"/>
      <c r="AA226" s="317"/>
      <c r="AB226" s="317"/>
    </row>
    <row r="227" spans="2:28" outlineLevel="1" x14ac:dyDescent="0.3">
      <c r="C227" s="26" t="s">
        <v>173</v>
      </c>
      <c r="D227" s="80" t="s">
        <v>74</v>
      </c>
      <c r="E227" s="64">
        <v>0</v>
      </c>
      <c r="F227" s="64">
        <v>0</v>
      </c>
      <c r="G227" s="64">
        <v>15.1</v>
      </c>
      <c r="H227" s="64">
        <v>17.100000000000001</v>
      </c>
      <c r="I227" s="158">
        <v>15.7</v>
      </c>
      <c r="J227" s="128">
        <f>+I227*(1+J127)</f>
        <v>16.484999999999999</v>
      </c>
      <c r="K227" s="128">
        <f t="shared" ref="K227:N227" si="153">+J227*(1+K127)</f>
        <v>17.309249999999999</v>
      </c>
      <c r="L227" s="128">
        <f t="shared" si="153"/>
        <v>18.174712499999998</v>
      </c>
      <c r="M227" s="128">
        <f t="shared" si="153"/>
        <v>19.083448125</v>
      </c>
      <c r="N227" s="128">
        <f t="shared" si="153"/>
        <v>19.846786050000002</v>
      </c>
      <c r="P227" s="317"/>
      <c r="Q227" s="321" t="s">
        <v>428</v>
      </c>
      <c r="R227" s="317"/>
      <c r="S227" s="317"/>
      <c r="T227" s="317"/>
      <c r="U227" s="317"/>
      <c r="V227" s="317"/>
      <c r="W227" s="317"/>
      <c r="X227" s="317"/>
      <c r="Y227" s="317"/>
      <c r="Z227" s="317"/>
      <c r="AA227" s="317"/>
      <c r="AB227" s="317"/>
    </row>
    <row r="228" spans="2:28" outlineLevel="1" x14ac:dyDescent="0.3">
      <c r="C228" s="26" t="s">
        <v>112</v>
      </c>
      <c r="D228" s="80" t="s">
        <v>74</v>
      </c>
      <c r="E228" s="64">
        <v>0</v>
      </c>
      <c r="F228" s="64">
        <v>0</v>
      </c>
      <c r="G228" s="64">
        <v>0.3</v>
      </c>
      <c r="H228" s="64">
        <v>1.1000000000000001</v>
      </c>
      <c r="I228" s="158">
        <v>1.1000000000000001</v>
      </c>
      <c r="J228" s="128">
        <f>+I228*(1+J128)</f>
        <v>1.1550000000000002</v>
      </c>
      <c r="K228" s="128">
        <f t="shared" ref="K228:N228" si="154">+J228*(1+K128)</f>
        <v>1.2127500000000002</v>
      </c>
      <c r="L228" s="128">
        <f t="shared" si="154"/>
        <v>1.2733875000000003</v>
      </c>
      <c r="M228" s="128">
        <f t="shared" si="154"/>
        <v>1.3370568750000005</v>
      </c>
      <c r="N228" s="128">
        <f t="shared" si="154"/>
        <v>1.3905391500000006</v>
      </c>
      <c r="P228" s="317"/>
      <c r="Q228" s="321"/>
      <c r="R228" s="317"/>
      <c r="S228" s="317"/>
      <c r="T228" s="317"/>
      <c r="U228" s="317"/>
      <c r="V228" s="317"/>
      <c r="W228" s="317"/>
      <c r="X228" s="317"/>
      <c r="Y228" s="317"/>
      <c r="Z228" s="317"/>
      <c r="AB228" s="317"/>
    </row>
    <row r="229" spans="2:28" outlineLevel="1" x14ac:dyDescent="0.3">
      <c r="C229" s="26" t="s">
        <v>113</v>
      </c>
      <c r="D229" s="81" t="s">
        <v>74</v>
      </c>
      <c r="E229" s="178">
        <v>0</v>
      </c>
      <c r="F229" s="178">
        <v>0</v>
      </c>
      <c r="G229" s="178">
        <v>-12.1</v>
      </c>
      <c r="H229" s="178">
        <v>-13.8</v>
      </c>
      <c r="I229" s="194">
        <v>-13.1</v>
      </c>
      <c r="J229" s="179">
        <f>-J227*J129</f>
        <v>-13.422839549204134</v>
      </c>
      <c r="K229" s="179">
        <f t="shared" ref="K229:N229" si="155">-K227*K129</f>
        <v>-14.093981526664342</v>
      </c>
      <c r="L229" s="179">
        <f t="shared" si="155"/>
        <v>-14.798680602997559</v>
      </c>
      <c r="M229" s="179">
        <f t="shared" si="155"/>
        <v>-15.538614633147438</v>
      </c>
      <c r="N229" s="179">
        <f t="shared" si="155"/>
        <v>-16.160159218473336</v>
      </c>
      <c r="P229" s="317"/>
      <c r="Q229" s="326" t="s">
        <v>429</v>
      </c>
      <c r="R229" s="317"/>
      <c r="S229" s="317"/>
      <c r="T229" s="317"/>
      <c r="U229" s="317"/>
      <c r="V229" s="317"/>
      <c r="W229" s="317"/>
      <c r="X229" s="317"/>
      <c r="Y229" s="317"/>
      <c r="Z229" s="317"/>
      <c r="AB229" s="317"/>
    </row>
    <row r="230" spans="2:28" outlineLevel="1" x14ac:dyDescent="0.3">
      <c r="C230" s="119" t="s">
        <v>114</v>
      </c>
      <c r="D230" s="80" t="s">
        <v>74</v>
      </c>
      <c r="E230" s="177">
        <f t="shared" ref="E230:I230" si="156">SUM(E227:E229)</f>
        <v>0</v>
      </c>
      <c r="F230" s="177">
        <f t="shared" si="156"/>
        <v>0</v>
      </c>
      <c r="G230" s="177">
        <f t="shared" si="156"/>
        <v>3.3000000000000007</v>
      </c>
      <c r="H230" s="177">
        <f t="shared" si="156"/>
        <v>4.4000000000000021</v>
      </c>
      <c r="I230" s="177">
        <f t="shared" si="156"/>
        <v>3.7000000000000011</v>
      </c>
      <c r="J230" s="177">
        <f>SUM(J227:J229)</f>
        <v>4.2171604507958662</v>
      </c>
      <c r="K230" s="177">
        <f t="shared" ref="K230:N230" si="157">SUM(K227:K229)</f>
        <v>4.4280184733356567</v>
      </c>
      <c r="L230" s="177">
        <f t="shared" si="157"/>
        <v>4.6494193970024416</v>
      </c>
      <c r="M230" s="177">
        <f t="shared" si="157"/>
        <v>4.8818903668525646</v>
      </c>
      <c r="N230" s="177">
        <f t="shared" si="157"/>
        <v>5.0771659815266688</v>
      </c>
      <c r="Q230" s="321" t="s">
        <v>430</v>
      </c>
      <c r="AB230" s="317"/>
    </row>
    <row r="231" spans="2:28" outlineLevel="1" x14ac:dyDescent="0.3">
      <c r="C231" s="110"/>
      <c r="E231" s="156"/>
      <c r="F231" s="156"/>
      <c r="G231" s="156"/>
      <c r="H231" s="156"/>
      <c r="I231" s="156"/>
      <c r="Q231" s="321" t="s">
        <v>431</v>
      </c>
      <c r="AB231" s="317"/>
    </row>
    <row r="232" spans="2:28" outlineLevel="1" x14ac:dyDescent="0.3">
      <c r="C232" s="55" t="s">
        <v>59</v>
      </c>
      <c r="E232" s="156"/>
      <c r="F232" s="156"/>
      <c r="G232" s="156"/>
      <c r="H232" s="156"/>
      <c r="I232" s="156"/>
      <c r="AB232" s="317"/>
    </row>
    <row r="233" spans="2:28" s="42" customFormat="1" outlineLevel="1" x14ac:dyDescent="0.3">
      <c r="B233" s="4"/>
      <c r="C233" s="26" t="s">
        <v>117</v>
      </c>
      <c r="D233" s="80" t="s">
        <v>74</v>
      </c>
      <c r="E233" s="64">
        <v>0.53900000000000003</v>
      </c>
      <c r="F233" s="64">
        <v>0.6</v>
      </c>
      <c r="G233" s="64">
        <v>0.5</v>
      </c>
      <c r="H233" s="64">
        <v>0.8</v>
      </c>
      <c r="I233" s="158">
        <v>7.6</v>
      </c>
      <c r="J233" s="157">
        <f>+J124*Loans!J115</f>
        <v>9.83045211119064</v>
      </c>
      <c r="K233" s="157">
        <f>+K124*Loans!K115</f>
        <v>11.596533733824691</v>
      </c>
      <c r="L233" s="157">
        <f>+L124*Loans!L115</f>
        <v>14.287734040900462</v>
      </c>
      <c r="M233" s="157">
        <f>+M124*Loans!M115</f>
        <v>17.04123569982044</v>
      </c>
      <c r="N233" s="157">
        <f>+N124*Loans!N115</f>
        <v>19.436608217437641</v>
      </c>
      <c r="O233" s="4"/>
      <c r="P233" s="318"/>
      <c r="Q233" s="318" t="s">
        <v>468</v>
      </c>
      <c r="R233" s="318"/>
      <c r="S233" s="318"/>
      <c r="T233" s="318"/>
      <c r="U233" s="318"/>
      <c r="V233" s="318"/>
      <c r="W233" s="318"/>
      <c r="X233" s="318"/>
      <c r="Y233" s="318"/>
      <c r="Z233" s="318"/>
      <c r="AA233" s="318"/>
      <c r="AB233" s="317"/>
    </row>
    <row r="234" spans="2:28" outlineLevel="1" x14ac:dyDescent="0.3">
      <c r="C234" s="26" t="s">
        <v>118</v>
      </c>
      <c r="D234" s="81" t="s">
        <v>74</v>
      </c>
      <c r="E234" s="178">
        <v>-0.1</v>
      </c>
      <c r="F234" s="178">
        <v>-0.2</v>
      </c>
      <c r="G234" s="178">
        <v>-0.2</v>
      </c>
      <c r="H234" s="178">
        <v>0</v>
      </c>
      <c r="I234" s="194">
        <v>-1.7</v>
      </c>
      <c r="J234" s="180">
        <f>-J125*Loans!J115</f>
        <v>-2.45761302779766</v>
      </c>
      <c r="K234" s="180">
        <f>-K125*Loans!K115</f>
        <v>-2.8991334334561727</v>
      </c>
      <c r="L234" s="180">
        <f>-L125*Loans!L115</f>
        <v>-3.5719335102251155</v>
      </c>
      <c r="M234" s="180">
        <f>-M125*Loans!M115</f>
        <v>-4.26030892495511</v>
      </c>
      <c r="N234" s="180">
        <f>-N125*Loans!N115</f>
        <v>-4.8591520543594102</v>
      </c>
      <c r="Q234" s="318" t="s">
        <v>432</v>
      </c>
      <c r="AB234" s="317"/>
    </row>
    <row r="235" spans="2:28" outlineLevel="1" x14ac:dyDescent="0.3">
      <c r="C235" s="119" t="s">
        <v>59</v>
      </c>
      <c r="D235" s="80" t="s">
        <v>74</v>
      </c>
      <c r="E235" s="177">
        <f t="shared" ref="E235:I235" si="158">SUM(E233:E234)</f>
        <v>0.43900000000000006</v>
      </c>
      <c r="F235" s="177">
        <f t="shared" si="158"/>
        <v>0.39999999999999997</v>
      </c>
      <c r="G235" s="177">
        <f t="shared" si="158"/>
        <v>0.3</v>
      </c>
      <c r="H235" s="177">
        <f t="shared" si="158"/>
        <v>0.8</v>
      </c>
      <c r="I235" s="177">
        <f t="shared" si="158"/>
        <v>5.8999999999999995</v>
      </c>
      <c r="J235" s="177">
        <f>SUM(J233:J234)</f>
        <v>7.3728390833929804</v>
      </c>
      <c r="K235" s="177">
        <f t="shared" ref="K235:N235" si="159">SUM(K233:K234)</f>
        <v>8.6974003003685176</v>
      </c>
      <c r="L235" s="177">
        <f t="shared" si="159"/>
        <v>10.715800530675347</v>
      </c>
      <c r="M235" s="177">
        <f t="shared" si="159"/>
        <v>12.78092677486533</v>
      </c>
      <c r="N235" s="177">
        <f t="shared" si="159"/>
        <v>14.577456163078232</v>
      </c>
      <c r="AB235" s="317"/>
    </row>
    <row r="236" spans="2:28" outlineLevel="1" x14ac:dyDescent="0.3">
      <c r="C236" s="110"/>
      <c r="E236" s="156"/>
      <c r="F236" s="156"/>
      <c r="G236" s="156"/>
      <c r="H236" s="156"/>
      <c r="I236" s="156"/>
      <c r="Q236" s="4" t="s">
        <v>469</v>
      </c>
      <c r="AB236" s="317"/>
    </row>
    <row r="237" spans="2:28" outlineLevel="1" x14ac:dyDescent="0.3">
      <c r="C237" s="109" t="s">
        <v>119</v>
      </c>
      <c r="D237" s="80" t="s">
        <v>74</v>
      </c>
      <c r="E237" s="158">
        <v>0</v>
      </c>
      <c r="F237" s="158">
        <v>0</v>
      </c>
      <c r="G237" s="158">
        <v>0</v>
      </c>
      <c r="H237" s="158">
        <v>0</v>
      </c>
      <c r="I237" s="158">
        <v>-0.1</v>
      </c>
      <c r="J237" s="118">
        <f>+J144</f>
        <v>0</v>
      </c>
      <c r="K237" s="118">
        <f t="shared" ref="K237:N237" si="160">+K144</f>
        <v>0</v>
      </c>
      <c r="L237" s="118">
        <f t="shared" si="160"/>
        <v>0</v>
      </c>
      <c r="M237" s="118">
        <f t="shared" si="160"/>
        <v>0</v>
      </c>
      <c r="N237" s="118">
        <f t="shared" si="160"/>
        <v>0</v>
      </c>
      <c r="AB237" s="317"/>
    </row>
    <row r="238" spans="2:28" outlineLevel="1" x14ac:dyDescent="0.3">
      <c r="C238" s="110"/>
      <c r="E238" s="156"/>
      <c r="F238" s="156"/>
      <c r="G238" s="156"/>
      <c r="H238" s="156"/>
      <c r="I238" s="156"/>
      <c r="Q238" s="4" t="s">
        <v>470</v>
      </c>
      <c r="AB238" s="317"/>
    </row>
    <row r="239" spans="2:28" outlineLevel="1" x14ac:dyDescent="0.3">
      <c r="C239" s="110" t="s">
        <v>202</v>
      </c>
      <c r="D239" s="80" t="s">
        <v>74</v>
      </c>
      <c r="E239" s="177">
        <f>+E224+E230+E235+E237</f>
        <v>1.23</v>
      </c>
      <c r="F239" s="177">
        <f t="shared" ref="F239:N239" si="161">+F224+F230+F235+F237</f>
        <v>2.2029999999999998</v>
      </c>
      <c r="G239" s="177">
        <f t="shared" si="161"/>
        <v>24.611999999999998</v>
      </c>
      <c r="H239" s="177">
        <f t="shared" si="161"/>
        <v>60.099999999999994</v>
      </c>
      <c r="I239" s="177">
        <f t="shared" si="161"/>
        <v>112.20000000000003</v>
      </c>
      <c r="J239" s="177">
        <f t="shared" ca="1" si="161"/>
        <v>137.5743186092748</v>
      </c>
      <c r="K239" s="177">
        <f t="shared" ca="1" si="161"/>
        <v>152.84531457155165</v>
      </c>
      <c r="L239" s="177">
        <f t="shared" ca="1" si="161"/>
        <v>175.95361698207662</v>
      </c>
      <c r="M239" s="177">
        <f t="shared" ca="1" si="161"/>
        <v>198.15026556312762</v>
      </c>
      <c r="N239" s="177">
        <f t="shared" ca="1" si="161"/>
        <v>212.07155740240947</v>
      </c>
      <c r="Q239" s="4" t="s">
        <v>433</v>
      </c>
      <c r="AB239" s="317"/>
    </row>
    <row r="240" spans="2:28" outlineLevel="1" x14ac:dyDescent="0.3">
      <c r="C240" s="110"/>
      <c r="Q240" s="4" t="s">
        <v>434</v>
      </c>
      <c r="AB240" s="317"/>
    </row>
    <row r="241" spans="2:28" outlineLevel="1" x14ac:dyDescent="0.3">
      <c r="C241" s="108" t="s">
        <v>115</v>
      </c>
      <c r="D241" s="80" t="s">
        <v>74</v>
      </c>
      <c r="E241" s="250">
        <f>-Loans!E73</f>
        <v>-0.4</v>
      </c>
      <c r="F241" s="250">
        <f>-Loans!F73</f>
        <v>-0.2</v>
      </c>
      <c r="G241" s="250">
        <f>-Loans!G73</f>
        <v>-2.7</v>
      </c>
      <c r="H241" s="250">
        <f>-Loans!H73</f>
        <v>-3.5</v>
      </c>
      <c r="I241" s="271">
        <f>-Loans!I73</f>
        <v>-6.6999999999999993</v>
      </c>
      <c r="J241" s="250">
        <f>-Loans!J79</f>
        <v>-11.45487994018</v>
      </c>
      <c r="K241" s="250">
        <f>-Loans!K79</f>
        <v>-13.713386472707748</v>
      </c>
      <c r="L241" s="250">
        <f>-Loans!L79</f>
        <v>-17.264533956286563</v>
      </c>
      <c r="M241" s="250">
        <f>-Loans!M79</f>
        <v>-21.133386736041736</v>
      </c>
      <c r="N241" s="250">
        <f>-Loans!N79</f>
        <v>-24.516625608968639</v>
      </c>
      <c r="AB241" s="317"/>
    </row>
    <row r="242" spans="2:28" outlineLevel="1" x14ac:dyDescent="0.3">
      <c r="C242" s="108" t="s">
        <v>404</v>
      </c>
      <c r="D242" s="80" t="s">
        <v>74</v>
      </c>
      <c r="E242" s="64">
        <v>0</v>
      </c>
      <c r="F242" s="64">
        <v>-0.1</v>
      </c>
      <c r="G242" s="64">
        <v>-0.1</v>
      </c>
      <c r="H242" s="64">
        <v>-0.7</v>
      </c>
      <c r="I242" s="158">
        <v>-1.1000000000000001</v>
      </c>
      <c r="J242" s="57">
        <f ca="1">-J239*J141</f>
        <v>-1.4755654707121817</v>
      </c>
      <c r="K242" s="57">
        <f t="shared" ref="K242:N242" ca="1" si="162">-K239*K141</f>
        <v>-1.6393558828552934</v>
      </c>
      <c r="L242" s="57">
        <f t="shared" ca="1" si="162"/>
        <v>-1.8872060155576549</v>
      </c>
      <c r="M242" s="57">
        <f t="shared" ca="1" si="162"/>
        <v>-2.1252781248206647</v>
      </c>
      <c r="N242" s="57">
        <f t="shared" ca="1" si="162"/>
        <v>-2.2745921665212263</v>
      </c>
      <c r="Q242" s="4" t="s">
        <v>471</v>
      </c>
      <c r="AB242" s="317"/>
    </row>
    <row r="243" spans="2:28" outlineLevel="1" x14ac:dyDescent="0.3">
      <c r="AB243" s="317"/>
    </row>
    <row r="244" spans="2:28" outlineLevel="1" x14ac:dyDescent="0.3">
      <c r="B244" s="5"/>
      <c r="C244" s="110" t="s">
        <v>28</v>
      </c>
      <c r="F244" s="137"/>
      <c r="H244" s="137"/>
      <c r="O244" s="5"/>
      <c r="P244" s="320" t="s">
        <v>435</v>
      </c>
      <c r="Q244" s="320"/>
      <c r="R244" s="320"/>
      <c r="S244" s="320"/>
      <c r="T244" s="320"/>
      <c r="U244" s="320"/>
      <c r="V244" s="320"/>
      <c r="W244" s="320"/>
      <c r="X244" s="320"/>
      <c r="Y244" s="320"/>
      <c r="Z244" s="320"/>
      <c r="AB244" s="317"/>
    </row>
    <row r="245" spans="2:28" outlineLevel="1" x14ac:dyDescent="0.3">
      <c r="C245" s="26" t="s">
        <v>145</v>
      </c>
      <c r="D245" s="80" t="s">
        <v>74</v>
      </c>
      <c r="E245" s="64">
        <v>0</v>
      </c>
      <c r="F245" s="64">
        <v>0</v>
      </c>
      <c r="G245" s="64">
        <v>-2.1</v>
      </c>
      <c r="H245" s="64">
        <v>0</v>
      </c>
      <c r="I245" s="158">
        <v>0</v>
      </c>
      <c r="J245" s="128">
        <f>+J145</f>
        <v>0</v>
      </c>
      <c r="K245" s="128">
        <f t="shared" ref="K245:N245" si="163">+K145</f>
        <v>0</v>
      </c>
      <c r="L245" s="128">
        <f t="shared" si="163"/>
        <v>0</v>
      </c>
      <c r="M245" s="128">
        <f t="shared" si="163"/>
        <v>0</v>
      </c>
      <c r="N245" s="128">
        <f t="shared" si="163"/>
        <v>0</v>
      </c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  <c r="AB245" s="317"/>
    </row>
    <row r="246" spans="2:28" outlineLevel="1" x14ac:dyDescent="0.3">
      <c r="C246" s="26" t="s">
        <v>146</v>
      </c>
      <c r="D246" s="80" t="s">
        <v>74</v>
      </c>
      <c r="E246" s="64">
        <v>-0.8</v>
      </c>
      <c r="F246" s="64">
        <v>-5.4</v>
      </c>
      <c r="G246" s="64">
        <v>-15.7</v>
      </c>
      <c r="H246" s="64">
        <v>-23.8</v>
      </c>
      <c r="I246" s="158">
        <v>-31.2</v>
      </c>
      <c r="J246" s="128">
        <f ca="1">-J132*J134/(Units*Units)</f>
        <v>-34.393579652318699</v>
      </c>
      <c r="K246" s="128">
        <f ca="1">-K132*K134/(Units*Units)</f>
        <v>-37.312238557172904</v>
      </c>
      <c r="L246" s="128">
        <f ca="1">-L132*L134/(Units*Units)</f>
        <v>-40.897327190428619</v>
      </c>
      <c r="M246" s="128">
        <f ca="1">-M132*M134/(Units*Units)</f>
        <v>-45.218906756713736</v>
      </c>
      <c r="N246" s="128">
        <f ca="1">-N132*N134/(Units*Units)</f>
        <v>-47.586788490296769</v>
      </c>
      <c r="P246" s="317"/>
      <c r="Q246" s="317" t="s">
        <v>436</v>
      </c>
      <c r="R246" s="317"/>
      <c r="S246" s="317"/>
      <c r="T246" s="317"/>
      <c r="U246" s="317"/>
      <c r="V246" s="317"/>
      <c r="W246" s="317"/>
      <c r="X246" s="317"/>
      <c r="Y246" s="317"/>
      <c r="Z246" s="317"/>
      <c r="AB246" s="317"/>
    </row>
    <row r="247" spans="2:28" outlineLevel="1" x14ac:dyDescent="0.3">
      <c r="C247" s="26" t="s">
        <v>147</v>
      </c>
      <c r="D247" s="80" t="s">
        <v>74</v>
      </c>
      <c r="E247" s="64">
        <v>0</v>
      </c>
      <c r="F247" s="64">
        <v>0</v>
      </c>
      <c r="G247" s="64">
        <v>0.3</v>
      </c>
      <c r="H247" s="64">
        <v>0</v>
      </c>
      <c r="I247" s="158">
        <v>0</v>
      </c>
      <c r="J247" s="128">
        <f ca="1">+J239*J182</f>
        <v>0.68787159304637402</v>
      </c>
      <c r="K247" s="128">
        <f t="shared" ref="K247:N247" ca="1" si="164">+K239*K182</f>
        <v>0.7642265728577583</v>
      </c>
      <c r="L247" s="128">
        <f t="shared" ca="1" si="164"/>
        <v>0.87976808491038316</v>
      </c>
      <c r="M247" s="128">
        <f t="shared" ca="1" si="164"/>
        <v>0.99075132781563813</v>
      </c>
      <c r="N247" s="128">
        <f t="shared" ca="1" si="164"/>
        <v>1.0603577870120473</v>
      </c>
      <c r="P247" s="317"/>
      <c r="Q247" s="317" t="s">
        <v>437</v>
      </c>
      <c r="R247" s="317"/>
      <c r="S247" s="317"/>
      <c r="T247" s="317"/>
      <c r="U247" s="317"/>
      <c r="V247" s="317"/>
      <c r="W247" s="317"/>
      <c r="X247" s="317"/>
      <c r="Y247" s="317"/>
      <c r="Z247" s="317"/>
      <c r="AB247" s="317"/>
    </row>
    <row r="248" spans="2:28" outlineLevel="1" x14ac:dyDescent="0.3">
      <c r="C248" s="26" t="s">
        <v>174</v>
      </c>
      <c r="D248" s="80" t="s">
        <v>74</v>
      </c>
      <c r="E248" s="64">
        <v>0</v>
      </c>
      <c r="F248" s="64">
        <v>-0.1</v>
      </c>
      <c r="G248" s="64">
        <v>-0.4</v>
      </c>
      <c r="H248" s="64">
        <v>-0.7</v>
      </c>
      <c r="I248" s="158">
        <v>-1</v>
      </c>
      <c r="J248" s="128">
        <f ca="1">-J239*J138</f>
        <v>-1.4142578420984229</v>
      </c>
      <c r="K248" s="128">
        <f t="shared" ref="K248:N248" ca="1" si="165">-K239*K138</f>
        <v>-1.5712429975738531</v>
      </c>
      <c r="L248" s="128">
        <f t="shared" ca="1" si="165"/>
        <v>-1.8087953128027188</v>
      </c>
      <c r="M248" s="128">
        <f t="shared" ca="1" si="165"/>
        <v>-2.0369758674395917</v>
      </c>
      <c r="N248" s="128">
        <f t="shared" ca="1" si="165"/>
        <v>-2.180086124898049</v>
      </c>
      <c r="P248" s="317"/>
      <c r="Q248" s="317"/>
      <c r="R248" s="317"/>
      <c r="S248" s="317"/>
      <c r="T248" s="317"/>
      <c r="U248" s="317"/>
      <c r="V248" s="317"/>
      <c r="W248" s="317"/>
      <c r="X248" s="317"/>
      <c r="Y248" s="317"/>
      <c r="Z248" s="317"/>
      <c r="AB248" s="317"/>
    </row>
    <row r="249" spans="2:28" outlineLevel="1" x14ac:dyDescent="0.3">
      <c r="C249" s="26" t="s">
        <v>148</v>
      </c>
      <c r="D249" s="80" t="s">
        <v>74</v>
      </c>
      <c r="E249" s="64">
        <v>0</v>
      </c>
      <c r="F249" s="64">
        <v>0</v>
      </c>
      <c r="G249" s="64">
        <v>-0.9</v>
      </c>
      <c r="H249" s="64">
        <v>-0.2</v>
      </c>
      <c r="I249" s="158">
        <v>-0.4</v>
      </c>
      <c r="J249" s="128">
        <f ca="1">-J239*J139</f>
        <v>-0.47413953044384527</v>
      </c>
      <c r="K249" s="128">
        <f t="shared" ref="K249:N249" ca="1" si="166">-K239*K139</f>
        <v>-0.5267698681998898</v>
      </c>
      <c r="L249" s="128">
        <f t="shared" ca="1" si="166"/>
        <v>-0.6064108925207039</v>
      </c>
      <c r="M249" s="128">
        <f t="shared" ca="1" si="166"/>
        <v>-0.68290997056110969</v>
      </c>
      <c r="N249" s="128">
        <f t="shared" ca="1" si="166"/>
        <v>-0.73088865468307374</v>
      </c>
      <c r="P249" s="317"/>
      <c r="Q249" s="319" t="s">
        <v>438</v>
      </c>
      <c r="R249" s="317"/>
      <c r="S249" s="317"/>
      <c r="T249" s="317"/>
      <c r="U249" s="317"/>
      <c r="V249" s="317"/>
      <c r="W249" s="317"/>
      <c r="X249" s="317"/>
      <c r="Y249" s="317"/>
      <c r="Z249" s="317"/>
    </row>
    <row r="250" spans="2:28" outlineLevel="1" x14ac:dyDescent="0.3">
      <c r="C250" s="26" t="s">
        <v>149</v>
      </c>
      <c r="D250" s="80" t="s">
        <v>74</v>
      </c>
      <c r="E250" s="64">
        <v>-0.1</v>
      </c>
      <c r="F250" s="64">
        <v>-0.3</v>
      </c>
      <c r="G250" s="64">
        <v>-0.7</v>
      </c>
      <c r="H250" s="64">
        <v>-0.6</v>
      </c>
      <c r="I250" s="158">
        <v>-0.7</v>
      </c>
      <c r="J250" s="128">
        <f ca="1">-J239*J143</f>
        <v>-0.82544591165564885</v>
      </c>
      <c r="K250" s="128">
        <f t="shared" ref="K250:N250" ca="1" si="167">-K239*K143</f>
        <v>-0.9170718874293099</v>
      </c>
      <c r="L250" s="128">
        <f t="shared" ca="1" si="167"/>
        <v>-0.87976808491038316</v>
      </c>
      <c r="M250" s="128">
        <f t="shared" ca="1" si="167"/>
        <v>-0.99075132781563813</v>
      </c>
      <c r="N250" s="128">
        <f t="shared" ca="1" si="167"/>
        <v>-1.0603577870120473</v>
      </c>
      <c r="P250" s="317"/>
      <c r="Q250" s="317" t="s">
        <v>439</v>
      </c>
      <c r="R250" s="317"/>
      <c r="S250" s="317"/>
      <c r="T250" s="317"/>
      <c r="U250" s="317"/>
      <c r="V250" s="317"/>
      <c r="W250" s="317"/>
      <c r="X250" s="317"/>
      <c r="Y250" s="317"/>
      <c r="Z250" s="317"/>
    </row>
    <row r="251" spans="2:28" outlineLevel="1" x14ac:dyDescent="0.3">
      <c r="C251" s="26" t="s">
        <v>150</v>
      </c>
      <c r="D251" s="80" t="s">
        <v>74</v>
      </c>
      <c r="E251" s="64">
        <v>0</v>
      </c>
      <c r="F251" s="64">
        <v>-1</v>
      </c>
      <c r="G251" s="64">
        <v>0</v>
      </c>
      <c r="H251" s="64">
        <v>0</v>
      </c>
      <c r="I251" s="158">
        <v>0</v>
      </c>
      <c r="J251" s="128">
        <f>+J146</f>
        <v>0</v>
      </c>
      <c r="K251" s="128">
        <f t="shared" ref="K251:N251" si="168">+K146</f>
        <v>0</v>
      </c>
      <c r="L251" s="128">
        <f t="shared" si="168"/>
        <v>0</v>
      </c>
      <c r="M251" s="128">
        <f t="shared" si="168"/>
        <v>0</v>
      </c>
      <c r="N251" s="128">
        <f t="shared" si="168"/>
        <v>0</v>
      </c>
      <c r="P251" s="317"/>
      <c r="Q251" s="317"/>
      <c r="R251" s="317"/>
      <c r="S251" s="317"/>
      <c r="T251" s="317"/>
      <c r="U251" s="317"/>
      <c r="V251" s="317"/>
      <c r="W251" s="317"/>
      <c r="X251" s="317"/>
      <c r="Y251" s="317"/>
      <c r="Z251" s="317"/>
    </row>
    <row r="252" spans="2:28" outlineLevel="1" x14ac:dyDescent="0.3">
      <c r="C252" s="26" t="s">
        <v>151</v>
      </c>
      <c r="D252" s="81" t="s">
        <v>74</v>
      </c>
      <c r="E252" s="178">
        <v>-0.3</v>
      </c>
      <c r="F252" s="178">
        <v>-5.4</v>
      </c>
      <c r="G252" s="178">
        <v>-9.4</v>
      </c>
      <c r="H252" s="178">
        <v>-14.5</v>
      </c>
      <c r="I252" s="194">
        <v>-25.8</v>
      </c>
      <c r="J252" s="181">
        <f ca="1">-J239*J137</f>
        <v>-30.954221687086829</v>
      </c>
      <c r="K252" s="181">
        <f t="shared" ref="K252:N252" ca="1" si="169">-K239*K137</f>
        <v>-34.390195778599121</v>
      </c>
      <c r="L252" s="181">
        <f t="shared" ca="1" si="169"/>
        <v>-38.709795736056854</v>
      </c>
      <c r="M252" s="181">
        <f t="shared" ca="1" si="169"/>
        <v>-43.593058423888074</v>
      </c>
      <c r="N252" s="181">
        <f t="shared" ca="1" si="169"/>
        <v>-45.595384841518033</v>
      </c>
      <c r="P252" s="317"/>
      <c r="Q252" s="317" t="s">
        <v>440</v>
      </c>
      <c r="R252" s="317"/>
      <c r="S252" s="317"/>
      <c r="T252" s="317"/>
      <c r="U252" s="317"/>
      <c r="V252" s="317"/>
      <c r="W252" s="317"/>
      <c r="X252" s="317"/>
      <c r="Y252" s="317"/>
      <c r="Z252" s="317"/>
      <c r="AA252" s="5"/>
    </row>
    <row r="253" spans="2:28" outlineLevel="1" x14ac:dyDescent="0.3">
      <c r="C253" s="79" t="s">
        <v>29</v>
      </c>
      <c r="D253" s="80" t="s">
        <v>74</v>
      </c>
      <c r="E253" s="177">
        <f>SUM(E245:E252)</f>
        <v>-1.2</v>
      </c>
      <c r="F253" s="177">
        <f t="shared" ref="F253:I253" si="170">SUM(F245:F252)</f>
        <v>-12.2</v>
      </c>
      <c r="G253" s="177">
        <f t="shared" si="170"/>
        <v>-28.9</v>
      </c>
      <c r="H253" s="177">
        <f t="shared" si="170"/>
        <v>-39.799999999999997</v>
      </c>
      <c r="I253" s="177">
        <f t="shared" si="170"/>
        <v>-59.100000000000009</v>
      </c>
      <c r="J253" s="177">
        <f ca="1">SUM(J245:J252)</f>
        <v>-67.373773030557061</v>
      </c>
      <c r="K253" s="177">
        <f t="shared" ref="K253:N253" ca="1" si="171">SUM(K245:K252)</f>
        <v>-73.95329251611733</v>
      </c>
      <c r="L253" s="177">
        <f t="shared" ca="1" si="171"/>
        <v>-82.022329131808903</v>
      </c>
      <c r="M253" s="177">
        <f t="shared" ca="1" si="171"/>
        <v>-91.531851018602509</v>
      </c>
      <c r="N253" s="177">
        <f t="shared" ca="1" si="171"/>
        <v>-96.093148111395919</v>
      </c>
      <c r="P253" s="321"/>
      <c r="Q253" s="321" t="s">
        <v>441</v>
      </c>
      <c r="R253" s="321"/>
      <c r="S253" s="321"/>
      <c r="T253" s="321"/>
      <c r="U253" s="321"/>
      <c r="V253" s="321"/>
      <c r="W253" s="321"/>
      <c r="X253" s="321"/>
      <c r="Y253" s="321"/>
      <c r="Z253" s="321"/>
    </row>
    <row r="254" spans="2:28" outlineLevel="1" x14ac:dyDescent="0.3">
      <c r="G254" s="137"/>
      <c r="I254" s="156"/>
      <c r="P254" s="321"/>
      <c r="Q254" s="321" t="s">
        <v>442</v>
      </c>
      <c r="R254" s="321"/>
      <c r="S254" s="321"/>
      <c r="T254" s="321"/>
      <c r="U254" s="321"/>
      <c r="V254" s="321"/>
      <c r="W254" s="321"/>
      <c r="X254" s="321"/>
      <c r="Y254" s="321"/>
      <c r="Z254" s="321"/>
    </row>
    <row r="255" spans="2:28" s="5" customFormat="1" outlineLevel="1" x14ac:dyDescent="0.3">
      <c r="B255" s="4"/>
      <c r="C255" s="110" t="s">
        <v>120</v>
      </c>
      <c r="D255" s="80" t="s">
        <v>74</v>
      </c>
      <c r="E255" s="177">
        <f t="shared" ref="E255:I255" si="172">+E239+E241+E242+E253</f>
        <v>-0.37</v>
      </c>
      <c r="F255" s="177">
        <f t="shared" si="172"/>
        <v>-10.297000000000001</v>
      </c>
      <c r="G255" s="177">
        <f t="shared" si="172"/>
        <v>-7.088000000000001</v>
      </c>
      <c r="H255" s="177">
        <f t="shared" si="172"/>
        <v>16.099999999999994</v>
      </c>
      <c r="I255" s="177">
        <f t="shared" si="172"/>
        <v>45.300000000000026</v>
      </c>
      <c r="J255" s="177">
        <f ca="1">+J239+J241+J242+J253</f>
        <v>57.270100167825547</v>
      </c>
      <c r="K255" s="177">
        <f t="shared" ref="K255:N255" ca="1" si="173">+K239+K241+K242+K253</f>
        <v>63.539279699871287</v>
      </c>
      <c r="L255" s="177">
        <f t="shared" ca="1" si="173"/>
        <v>74.7795478784235</v>
      </c>
      <c r="M255" s="177">
        <f t="shared" ca="1" si="173"/>
        <v>83.359749683662727</v>
      </c>
      <c r="N255" s="177">
        <f t="shared" ca="1" si="173"/>
        <v>89.187191515523693</v>
      </c>
      <c r="O255" s="4"/>
      <c r="P255" s="317"/>
      <c r="Q255" s="321"/>
      <c r="R255" s="317"/>
      <c r="S255" s="317"/>
      <c r="T255" s="317"/>
      <c r="U255" s="317"/>
      <c r="V255" s="317"/>
      <c r="W255" s="317"/>
      <c r="X255" s="317"/>
      <c r="Y255" s="317"/>
      <c r="Z255" s="317"/>
      <c r="AA255" s="4"/>
    </row>
    <row r="256" spans="2:28" outlineLevel="1" x14ac:dyDescent="0.3">
      <c r="C256" s="26" t="s">
        <v>224</v>
      </c>
      <c r="D256" s="81" t="s">
        <v>74</v>
      </c>
      <c r="E256" s="178">
        <v>0.1</v>
      </c>
      <c r="F256" s="178">
        <v>2.2999999999999998</v>
      </c>
      <c r="G256" s="178">
        <v>0.3</v>
      </c>
      <c r="H256" s="179">
        <f>-H176</f>
        <v>-3.3</v>
      </c>
      <c r="I256" s="215">
        <f>-I176</f>
        <v>-10.8</v>
      </c>
      <c r="J256" s="152">
        <f ca="1">-J255*J148</f>
        <v>-11.45402003356511</v>
      </c>
      <c r="K256" s="152">
        <f t="shared" ref="K256:N256" ca="1" si="174">-K255*K148</f>
        <v>-12.707855939974259</v>
      </c>
      <c r="L256" s="152">
        <f t="shared" ca="1" si="174"/>
        <v>-14.9559095756847</v>
      </c>
      <c r="M256" s="152">
        <f t="shared" ca="1" si="174"/>
        <v>-16.671949936732545</v>
      </c>
      <c r="N256" s="152">
        <f t="shared" ca="1" si="174"/>
        <v>-17.83743830310474</v>
      </c>
      <c r="Q256" s="109" t="s">
        <v>443</v>
      </c>
    </row>
    <row r="257" spans="2:26" ht="14.55" customHeight="1" outlineLevel="1" x14ac:dyDescent="0.3">
      <c r="C257" s="119" t="s">
        <v>30</v>
      </c>
      <c r="D257" s="80" t="s">
        <v>74</v>
      </c>
      <c r="E257" s="177">
        <f>SUM(E255:E256)</f>
        <v>-0.27</v>
      </c>
      <c r="F257" s="177">
        <f t="shared" ref="F257:I257" si="175">SUM(F255:F256)</f>
        <v>-7.9970000000000008</v>
      </c>
      <c r="G257" s="177">
        <f t="shared" si="175"/>
        <v>-6.7880000000000011</v>
      </c>
      <c r="H257" s="177">
        <f t="shared" si="175"/>
        <v>12.799999999999994</v>
      </c>
      <c r="I257" s="177">
        <f t="shared" si="175"/>
        <v>34.500000000000028</v>
      </c>
      <c r="J257" s="177">
        <f ca="1">SUM(J255:J256)</f>
        <v>45.816080134260439</v>
      </c>
      <c r="K257" s="177">
        <f t="shared" ref="K257:N257" ca="1" si="176">SUM(K255:K256)</f>
        <v>50.831423759897028</v>
      </c>
      <c r="L257" s="177">
        <f t="shared" ca="1" si="176"/>
        <v>59.8236383027388</v>
      </c>
      <c r="M257" s="177">
        <f t="shared" ca="1" si="176"/>
        <v>66.687799746930182</v>
      </c>
      <c r="N257" s="177">
        <f t="shared" ca="1" si="176"/>
        <v>71.34975321241896</v>
      </c>
      <c r="Q257" s="321" t="s">
        <v>444</v>
      </c>
    </row>
    <row r="258" spans="2:26" outlineLevel="1" x14ac:dyDescent="0.3">
      <c r="H258" s="182"/>
      <c r="I258" s="182"/>
      <c r="Q258" s="321" t="s">
        <v>445</v>
      </c>
    </row>
    <row r="259" spans="2:26" outlineLevel="1" x14ac:dyDescent="0.3">
      <c r="C259" s="108" t="s">
        <v>353</v>
      </c>
      <c r="D259" s="222" t="s">
        <v>241</v>
      </c>
      <c r="E259" s="237">
        <f>E260</f>
        <v>2</v>
      </c>
      <c r="F259" s="237">
        <f>AVERAGE(E260,F260)</f>
        <v>19.495000000000001</v>
      </c>
      <c r="G259" s="237">
        <f>AVERAGE(F260,G260)</f>
        <v>74.489999999999995</v>
      </c>
      <c r="H259" s="238">
        <v>128.1</v>
      </c>
      <c r="I259" s="239">
        <v>165.2</v>
      </c>
      <c r="J259" s="240">
        <f>AVERAGE(I260,J260)</f>
        <v>217.626946</v>
      </c>
      <c r="K259" s="240">
        <f t="shared" ref="K259:N259" si="177">AVERAGE(J260,K260)</f>
        <v>255.6536346976176</v>
      </c>
      <c r="L259" s="240">
        <f t="shared" si="177"/>
        <v>266.96090409285284</v>
      </c>
      <c r="M259" s="240">
        <f t="shared" si="177"/>
        <v>278.268173488088</v>
      </c>
      <c r="N259" s="240">
        <f t="shared" si="177"/>
        <v>289.57544288332326</v>
      </c>
      <c r="Q259" s="321"/>
    </row>
    <row r="260" spans="2:26" outlineLevel="1" x14ac:dyDescent="0.3">
      <c r="C260" s="108" t="s">
        <v>55</v>
      </c>
      <c r="D260" s="222" t="s">
        <v>241</v>
      </c>
      <c r="E260" s="238">
        <v>2</v>
      </c>
      <c r="F260" s="238">
        <v>36.99</v>
      </c>
      <c r="G260" s="238">
        <v>111.99</v>
      </c>
      <c r="H260" s="238">
        <v>137.945651</v>
      </c>
      <c r="I260" s="239">
        <v>185.25389200000001</v>
      </c>
      <c r="J260" s="237">
        <f>+I260+J215</f>
        <v>250</v>
      </c>
      <c r="K260" s="237">
        <f>+J260+K215</f>
        <v>261.30726939523521</v>
      </c>
      <c r="L260" s="237">
        <f t="shared" ref="K260:N260" si="178">+K260+L215</f>
        <v>272.61453879047042</v>
      </c>
      <c r="M260" s="237">
        <f t="shared" si="178"/>
        <v>283.92180818570563</v>
      </c>
      <c r="N260" s="237">
        <f t="shared" si="178"/>
        <v>295.22907758094084</v>
      </c>
      <c r="Q260" s="321" t="s">
        <v>446</v>
      </c>
    </row>
    <row r="261" spans="2:26" outlineLevel="1" x14ac:dyDescent="0.3">
      <c r="C261" s="108"/>
      <c r="D261" s="226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Q261" s="321" t="s">
        <v>447</v>
      </c>
    </row>
    <row r="262" spans="2:26" outlineLevel="1" x14ac:dyDescent="0.3">
      <c r="C262" s="109" t="s">
        <v>352</v>
      </c>
      <c r="D262" s="80" t="s">
        <v>247</v>
      </c>
      <c r="E262" s="241">
        <f>IFERROR(+E257/E259,"N/A")</f>
        <v>-0.13500000000000001</v>
      </c>
      <c r="F262" s="241">
        <f t="shared" ref="F262:N262" si="179">IFERROR(+F257/F259,"N/A")</f>
        <v>-0.41020774557578871</v>
      </c>
      <c r="G262" s="241">
        <f t="shared" si="179"/>
        <v>-9.1126325681299525E-2</v>
      </c>
      <c r="H262" s="241">
        <f t="shared" si="179"/>
        <v>9.9921935987509716E-2</v>
      </c>
      <c r="I262" s="241">
        <f t="shared" si="179"/>
        <v>0.20883777239709461</v>
      </c>
      <c r="J262" s="241">
        <f t="shared" ca="1" si="179"/>
        <v>0.21052576887358626</v>
      </c>
      <c r="K262" s="241">
        <f t="shared" ca="1" si="179"/>
        <v>0.19882926295970521</v>
      </c>
      <c r="L262" s="241">
        <f t="shared" ca="1" si="179"/>
        <v>0.22409138336575035</v>
      </c>
      <c r="M262" s="241">
        <f t="shared" ca="1" si="179"/>
        <v>0.23965298981554184</v>
      </c>
      <c r="N262" s="241">
        <f t="shared" ca="1" si="179"/>
        <v>0.24639435064653412</v>
      </c>
    </row>
    <row r="263" spans="2:26" x14ac:dyDescent="0.3">
      <c r="P263" s="320" t="s">
        <v>448</v>
      </c>
      <c r="Q263" s="320"/>
      <c r="R263" s="320"/>
      <c r="S263" s="320"/>
      <c r="T263" s="320"/>
      <c r="U263" s="320"/>
      <c r="V263" s="320"/>
      <c r="W263" s="320"/>
      <c r="X263" s="320"/>
      <c r="Y263" s="320"/>
      <c r="Z263" s="320"/>
    </row>
    <row r="264" spans="2:26" x14ac:dyDescent="0.3">
      <c r="B264" s="21"/>
      <c r="C264" s="103"/>
      <c r="D264" s="104"/>
      <c r="E264" s="20" t="str">
        <f>+Loans!$E$65</f>
        <v>Historical</v>
      </c>
      <c r="F264" s="20"/>
      <c r="G264" s="20"/>
      <c r="H264" s="20"/>
      <c r="I264" s="20"/>
      <c r="J264" s="22" t="str">
        <f>+Loans!$J$65</f>
        <v>Projected</v>
      </c>
      <c r="K264" s="20"/>
      <c r="L264" s="20"/>
      <c r="M264" s="20"/>
      <c r="N264" s="20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</row>
    <row r="265" spans="2:26" x14ac:dyDescent="0.3">
      <c r="B265" s="83" t="s">
        <v>86</v>
      </c>
      <c r="C265" s="83"/>
      <c r="D265" s="85" t="str">
        <f>+Loans!$D$6</f>
        <v>Units:</v>
      </c>
      <c r="E265" s="89">
        <f>Loans!$E$6</f>
        <v>40543</v>
      </c>
      <c r="F265" s="89">
        <f>Loans!$F$6</f>
        <v>40908</v>
      </c>
      <c r="G265" s="89">
        <f>Loans!$G$6</f>
        <v>41274</v>
      </c>
      <c r="H265" s="89">
        <f>Loans!$H$6</f>
        <v>41639</v>
      </c>
      <c r="I265" s="90">
        <f>Loans!$I$6</f>
        <v>42004</v>
      </c>
      <c r="J265" s="89">
        <f>Loans!$J$6</f>
        <v>42369</v>
      </c>
      <c r="K265" s="89">
        <f>Loans!$K$6</f>
        <v>42735</v>
      </c>
      <c r="L265" s="89">
        <f>Loans!$L$6</f>
        <v>43100</v>
      </c>
      <c r="M265" s="89">
        <f>Loans!$M$6</f>
        <v>43465</v>
      </c>
      <c r="N265" s="89">
        <f>Loans!$N$6</f>
        <v>43830</v>
      </c>
      <c r="Q265" s="4" t="s">
        <v>449</v>
      </c>
    </row>
    <row r="266" spans="2:26" outlineLevel="1" x14ac:dyDescent="0.3">
      <c r="B266" s="188" t="s">
        <v>128</v>
      </c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42"/>
      <c r="Q266" s="4" t="s">
        <v>450</v>
      </c>
    </row>
    <row r="267" spans="2:26" outlineLevel="1" x14ac:dyDescent="0.3">
      <c r="C267" s="37" t="s">
        <v>63</v>
      </c>
      <c r="D267" s="222" t="s">
        <v>74</v>
      </c>
      <c r="E267" s="115">
        <v>0</v>
      </c>
      <c r="F267" s="115">
        <v>0</v>
      </c>
      <c r="G267" s="115">
        <v>0.2</v>
      </c>
      <c r="H267" s="115">
        <v>206.6</v>
      </c>
      <c r="I267" s="123">
        <v>313.10000000000002</v>
      </c>
      <c r="J267" s="116">
        <f>+J$285*J154</f>
        <v>351.63554604147134</v>
      </c>
      <c r="K267" s="116">
        <f t="shared" ref="K267:N267" si="180">+K$285*K154</f>
        <v>421.69562462137895</v>
      </c>
      <c r="L267" s="116">
        <f t="shared" si="180"/>
        <v>520.0783175816772</v>
      </c>
      <c r="M267" s="116">
        <f t="shared" si="180"/>
        <v>590.51321345912402</v>
      </c>
      <c r="N267" s="116">
        <f t="shared" si="180"/>
        <v>661.41266013944369</v>
      </c>
    </row>
    <row r="268" spans="2:26" outlineLevel="1" x14ac:dyDescent="0.3">
      <c r="C268" s="37" t="s">
        <v>133</v>
      </c>
      <c r="D268" s="222" t="s">
        <v>74</v>
      </c>
      <c r="E268" s="64">
        <v>16.7</v>
      </c>
      <c r="F268" s="64">
        <v>29.5</v>
      </c>
      <c r="G268" s="64">
        <v>55.6</v>
      </c>
      <c r="H268" s="64">
        <v>23.8</v>
      </c>
      <c r="I268" s="158">
        <v>36.6</v>
      </c>
      <c r="J268" s="161">
        <f ca="1">+I268+J170</f>
        <v>36.6</v>
      </c>
      <c r="K268" s="161">
        <f t="shared" ref="K268:N268" ca="1" si="181">+J268+K170</f>
        <v>36.6</v>
      </c>
      <c r="L268" s="161">
        <f t="shared" ca="1" si="181"/>
        <v>36.6</v>
      </c>
      <c r="M268" s="161">
        <f t="shared" ca="1" si="181"/>
        <v>36.6</v>
      </c>
      <c r="N268" s="161">
        <f t="shared" ca="1" si="181"/>
        <v>36.6</v>
      </c>
      <c r="Q268" s="4" t="s">
        <v>451</v>
      </c>
    </row>
    <row r="269" spans="2:26" outlineLevel="1" x14ac:dyDescent="0.3">
      <c r="C269" s="37" t="s">
        <v>134</v>
      </c>
      <c r="D269" s="222" t="s">
        <v>74</v>
      </c>
      <c r="E269" s="64">
        <v>0</v>
      </c>
      <c r="F269" s="64">
        <v>64.8</v>
      </c>
      <c r="G269" s="64">
        <v>144.9</v>
      </c>
      <c r="H269" s="64">
        <v>0</v>
      </c>
      <c r="I269" s="158">
        <v>0</v>
      </c>
      <c r="J269" s="161">
        <f>+J$285*J155</f>
        <v>0</v>
      </c>
      <c r="K269" s="161">
        <f t="shared" ref="K269:N269" si="182">+K$285*K155</f>
        <v>0</v>
      </c>
      <c r="L269" s="161">
        <f t="shared" si="182"/>
        <v>0</v>
      </c>
      <c r="M269" s="161">
        <f t="shared" si="182"/>
        <v>0</v>
      </c>
      <c r="N269" s="161">
        <f t="shared" si="182"/>
        <v>0</v>
      </c>
      <c r="Q269" s="4" t="s">
        <v>452</v>
      </c>
    </row>
    <row r="270" spans="2:26" outlineLevel="1" x14ac:dyDescent="0.3">
      <c r="C270" s="37" t="s">
        <v>135</v>
      </c>
      <c r="D270" s="222" t="s">
        <v>74</v>
      </c>
      <c r="E270" s="64">
        <v>0</v>
      </c>
      <c r="F270" s="64">
        <v>0.1</v>
      </c>
      <c r="G270" s="64">
        <v>0</v>
      </c>
      <c r="H270" s="64">
        <v>0</v>
      </c>
      <c r="I270" s="158">
        <v>3.7</v>
      </c>
      <c r="J270" s="161">
        <f>+J$285*J156</f>
        <v>3.9727638741599889</v>
      </c>
      <c r="K270" s="161">
        <f t="shared" ref="K270:N270" si="183">+K$285*K156</f>
        <v>4.7642997479827134</v>
      </c>
      <c r="L270" s="161">
        <f t="shared" si="183"/>
        <v>5.8758233491522924</v>
      </c>
      <c r="M270" s="161">
        <f t="shared" si="183"/>
        <v>6.6715938933200292</v>
      </c>
      <c r="N270" s="161">
        <f t="shared" si="183"/>
        <v>7.4726129132694146</v>
      </c>
    </row>
    <row r="271" spans="2:26" outlineLevel="1" x14ac:dyDescent="0.3">
      <c r="C271" s="50"/>
      <c r="E271" s="64"/>
      <c r="F271" s="64"/>
      <c r="G271" s="64"/>
      <c r="H271" s="64"/>
      <c r="I271" s="64"/>
      <c r="J271" s="137"/>
      <c r="K271" s="137"/>
      <c r="L271" s="137"/>
      <c r="M271" s="137"/>
      <c r="N271" s="137"/>
      <c r="Q271" s="4" t="s">
        <v>453</v>
      </c>
    </row>
    <row r="272" spans="2:26" outlineLevel="1" x14ac:dyDescent="0.3">
      <c r="C272" s="55" t="s">
        <v>83</v>
      </c>
      <c r="D272" s="222" t="s">
        <v>74</v>
      </c>
      <c r="E272" s="271">
        <f>+Loans!E114</f>
        <v>23.4</v>
      </c>
      <c r="F272" s="271">
        <f>+Loans!F114</f>
        <v>111</v>
      </c>
      <c r="G272" s="271">
        <f>+Loans!G114</f>
        <v>748</v>
      </c>
      <c r="H272" s="271">
        <f>+Loans!H114</f>
        <v>1352.3</v>
      </c>
      <c r="I272" s="271">
        <f>+Loans!I114</f>
        <v>2295.9</v>
      </c>
      <c r="J272" s="271">
        <f>+Loans!J114</f>
        <v>2619.3260555953198</v>
      </c>
      <c r="K272" s="271">
        <f>+Loans!K114</f>
        <v>3178.9408113170252</v>
      </c>
      <c r="L272" s="271">
        <f>+Loans!L114</f>
        <v>3964.9262091332057</v>
      </c>
      <c r="M272" s="271">
        <f>+Loans!M114</f>
        <v>4555.691640777015</v>
      </c>
      <c r="N272" s="271">
        <f>+Loans!N114</f>
        <v>5162.6124679418044</v>
      </c>
      <c r="Q272" s="4" t="s">
        <v>454</v>
      </c>
    </row>
    <row r="273" spans="2:27" outlineLevel="1" x14ac:dyDescent="0.3">
      <c r="C273" s="50" t="s">
        <v>132</v>
      </c>
      <c r="D273" s="223" t="s">
        <v>74</v>
      </c>
      <c r="E273" s="250">
        <f>-Loans!E80</f>
        <v>-1.5</v>
      </c>
      <c r="F273" s="250">
        <f>-Loans!F80</f>
        <v>-0.30000000000000004</v>
      </c>
      <c r="G273" s="250">
        <f>-Loans!G80</f>
        <v>-2.8000000000000003</v>
      </c>
      <c r="H273" s="250">
        <f>-Loans!H80</f>
        <v>-5.4</v>
      </c>
      <c r="I273" s="271">
        <f>-Loans!I80</f>
        <v>-11.1</v>
      </c>
      <c r="J273" s="250">
        <f>-Loans!J80</f>
        <v>-19.850017935499999</v>
      </c>
      <c r="K273" s="250">
        <f>-Loans!K80</f>
        <v>-30.369625704914</v>
      </c>
      <c r="L273" s="250">
        <f>-Loans!L80</f>
        <v>-43.338183494380765</v>
      </c>
      <c r="M273" s="250">
        <f>-Loans!M80</f>
        <v>-59.343889371711391</v>
      </c>
      <c r="N273" s="250">
        <f>-Loans!N80</f>
        <v>-77.519576713085314</v>
      </c>
    </row>
    <row r="274" spans="2:27" outlineLevel="1" x14ac:dyDescent="0.3">
      <c r="C274" s="224" t="s">
        <v>17</v>
      </c>
      <c r="D274" s="222" t="s">
        <v>74</v>
      </c>
      <c r="E274" s="162">
        <f t="shared" ref="E274:I274" si="184">SUM(E272:E273)</f>
        <v>21.9</v>
      </c>
      <c r="F274" s="162">
        <f t="shared" si="184"/>
        <v>110.7</v>
      </c>
      <c r="G274" s="162">
        <f t="shared" si="184"/>
        <v>745.2</v>
      </c>
      <c r="H274" s="162">
        <f t="shared" si="184"/>
        <v>1346.8999999999999</v>
      </c>
      <c r="I274" s="162">
        <f t="shared" si="184"/>
        <v>2284.8000000000002</v>
      </c>
      <c r="J274" s="162">
        <f t="shared" ref="J274:N274" si="185">SUM(J272:J273)</f>
        <v>2599.4760376598197</v>
      </c>
      <c r="K274" s="162">
        <f t="shared" si="185"/>
        <v>3148.5711856121111</v>
      </c>
      <c r="L274" s="162">
        <f t="shared" si="185"/>
        <v>3921.588025638825</v>
      </c>
      <c r="M274" s="162">
        <f t="shared" si="185"/>
        <v>4496.3477514053038</v>
      </c>
      <c r="N274" s="162">
        <f t="shared" si="185"/>
        <v>5085.0928912287191</v>
      </c>
      <c r="P274" s="320" t="s">
        <v>405</v>
      </c>
      <c r="Q274" s="320"/>
      <c r="R274" s="320"/>
      <c r="S274" s="320"/>
      <c r="T274" s="320"/>
      <c r="U274" s="320"/>
      <c r="V274" s="320"/>
      <c r="W274" s="320"/>
      <c r="X274" s="320"/>
      <c r="Y274" s="320"/>
      <c r="Z274" s="320"/>
      <c r="AA274" s="318"/>
    </row>
    <row r="275" spans="2:27" outlineLevel="1" x14ac:dyDescent="0.3">
      <c r="C275" s="3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</row>
    <row r="276" spans="2:27" outlineLevel="1" x14ac:dyDescent="0.3">
      <c r="C276" s="37" t="s">
        <v>131</v>
      </c>
      <c r="D276" s="222" t="s">
        <v>74</v>
      </c>
      <c r="E276" s="64">
        <v>0</v>
      </c>
      <c r="F276" s="64">
        <v>0.5</v>
      </c>
      <c r="G276" s="64">
        <v>61.1</v>
      </c>
      <c r="H276" s="64">
        <v>53.8</v>
      </c>
      <c r="I276" s="158">
        <v>49.7</v>
      </c>
      <c r="J276" s="161">
        <f ca="1">+I276-J309-J313-J326-J327-J329</f>
        <v>46.556719690485806</v>
      </c>
      <c r="K276" s="161">
        <f t="shared" ref="K276:N276" ca="1" si="186">+J276-K309-K313-K326-K327-K329</f>
        <v>43.883346904829502</v>
      </c>
      <c r="L276" s="161">
        <f t="shared" ca="1" si="186"/>
        <v>42.23192843250574</v>
      </c>
      <c r="M276" s="161">
        <f t="shared" ca="1" si="186"/>
        <v>41.499110504784554</v>
      </c>
      <c r="N276" s="161">
        <f t="shared" ca="1" si="186"/>
        <v>41.184947540617969</v>
      </c>
      <c r="P276" s="317"/>
      <c r="Q276" s="317" t="s">
        <v>455</v>
      </c>
      <c r="R276" s="317"/>
      <c r="S276" s="317"/>
      <c r="T276" s="317"/>
      <c r="U276" s="317"/>
      <c r="V276" s="317"/>
      <c r="W276" s="317"/>
      <c r="X276" s="317"/>
      <c r="Y276" s="317"/>
      <c r="Z276" s="317"/>
    </row>
    <row r="277" spans="2:27" outlineLevel="1" x14ac:dyDescent="0.3">
      <c r="C277" s="37" t="s">
        <v>18</v>
      </c>
      <c r="D277" s="222" t="s">
        <v>74</v>
      </c>
      <c r="E277" s="64">
        <v>0</v>
      </c>
      <c r="F277" s="64">
        <v>5.4</v>
      </c>
      <c r="G277" s="64">
        <v>15</v>
      </c>
      <c r="H277" s="64">
        <v>22.2</v>
      </c>
      <c r="I277" s="158">
        <v>49.5</v>
      </c>
      <c r="J277" s="161">
        <f ca="1">+I277-J310-J328</f>
        <v>52.675857573431209</v>
      </c>
      <c r="K277" s="161">
        <f t="shared" ref="K277:N277" ca="1" si="187">+J277-K310-K328</f>
        <v>56.204241030115192</v>
      </c>
      <c r="L277" s="161">
        <f t="shared" ca="1" si="187"/>
        <v>60.266071993292272</v>
      </c>
      <c r="M277" s="161">
        <f t="shared" ca="1" si="187"/>
        <v>64.840305236295507</v>
      </c>
      <c r="N277" s="161">
        <f t="shared" ca="1" si="187"/>
        <v>69.735906889963346</v>
      </c>
      <c r="P277" s="317"/>
      <c r="Q277" s="317" t="s">
        <v>456</v>
      </c>
      <c r="R277" s="317"/>
      <c r="S277" s="317"/>
      <c r="T277" s="317"/>
      <c r="U277" s="317"/>
      <c r="V277" s="317"/>
      <c r="W277" s="317"/>
      <c r="X277" s="317"/>
      <c r="Y277" s="317"/>
      <c r="Z277" s="317"/>
    </row>
    <row r="278" spans="2:27" outlineLevel="1" x14ac:dyDescent="0.3">
      <c r="C278" s="37" t="s">
        <v>130</v>
      </c>
      <c r="D278" s="222" t="s">
        <v>74</v>
      </c>
      <c r="E278" s="64">
        <v>0</v>
      </c>
      <c r="F278" s="64">
        <v>2.2999999999999998</v>
      </c>
      <c r="G278" s="64">
        <v>11.2</v>
      </c>
      <c r="H278" s="64">
        <v>8.6</v>
      </c>
      <c r="I278" s="158">
        <v>9.8000000000000007</v>
      </c>
      <c r="J278" s="161">
        <f ca="1">+I278-J306-J307</f>
        <v>10.945402003356511</v>
      </c>
      <c r="K278" s="161">
        <f t="shared" ref="K278:N278" ca="1" si="188">+J278-K306-K307</f>
        <v>12.216187597353937</v>
      </c>
      <c r="L278" s="161">
        <f t="shared" ca="1" si="188"/>
        <v>13.711778554922407</v>
      </c>
      <c r="M278" s="161">
        <f t="shared" ca="1" si="188"/>
        <v>15.378973548595663</v>
      </c>
      <c r="N278" s="161">
        <f t="shared" ca="1" si="188"/>
        <v>17.162717378906137</v>
      </c>
      <c r="P278" s="317"/>
      <c r="Q278" s="317"/>
      <c r="R278" s="317"/>
      <c r="S278" s="317"/>
      <c r="T278" s="317"/>
      <c r="U278" s="317"/>
      <c r="V278" s="317"/>
      <c r="W278" s="317"/>
      <c r="X278" s="317"/>
      <c r="Y278" s="317"/>
      <c r="Z278" s="317"/>
    </row>
    <row r="279" spans="2:27" outlineLevel="1" x14ac:dyDescent="0.3">
      <c r="C279" s="37" t="s">
        <v>19</v>
      </c>
      <c r="D279" s="222" t="s">
        <v>74</v>
      </c>
      <c r="E279" s="64">
        <v>0.5</v>
      </c>
      <c r="F279" s="64">
        <v>1.5</v>
      </c>
      <c r="G279" s="64">
        <v>10.9</v>
      </c>
      <c r="H279" s="64">
        <v>6.1</v>
      </c>
      <c r="I279" s="158">
        <v>6.8</v>
      </c>
      <c r="J279" s="161">
        <f>+I279*(1+J158)</f>
        <v>7.3440000000000003</v>
      </c>
      <c r="K279" s="161">
        <f t="shared" ref="K279:N279" si="189">+J279*(1+K158)</f>
        <v>7.8580800000000011</v>
      </c>
      <c r="L279" s="161">
        <f t="shared" si="189"/>
        <v>8.3295648000000018</v>
      </c>
      <c r="M279" s="161">
        <f t="shared" si="189"/>
        <v>8.7460430400000018</v>
      </c>
      <c r="N279" s="161">
        <f t="shared" si="189"/>
        <v>9.0958847616000025</v>
      </c>
      <c r="P279" s="317"/>
      <c r="Q279" s="317" t="s">
        <v>457</v>
      </c>
      <c r="R279" s="317"/>
      <c r="S279" s="317"/>
      <c r="T279" s="317"/>
      <c r="U279" s="317"/>
      <c r="V279" s="317"/>
      <c r="W279" s="317"/>
      <c r="X279" s="317"/>
      <c r="Y279" s="317"/>
      <c r="Z279" s="317"/>
    </row>
    <row r="280" spans="2:27" outlineLevel="1" x14ac:dyDescent="0.3">
      <c r="C280" s="30"/>
      <c r="E280" s="64"/>
      <c r="F280" s="64"/>
      <c r="G280" s="64"/>
      <c r="H280" s="64"/>
      <c r="I280" s="64"/>
      <c r="J280" s="137"/>
      <c r="K280" s="137"/>
      <c r="L280" s="137"/>
      <c r="M280" s="137"/>
      <c r="N280" s="137"/>
      <c r="P280" s="317"/>
      <c r="Q280" s="317" t="s">
        <v>458</v>
      </c>
      <c r="R280" s="317"/>
      <c r="S280" s="317"/>
      <c r="T280" s="317"/>
      <c r="U280" s="317"/>
      <c r="V280" s="317"/>
      <c r="W280" s="317"/>
      <c r="X280" s="317"/>
      <c r="Y280" s="317"/>
      <c r="Z280" s="317"/>
    </row>
    <row r="281" spans="2:27" s="42" customFormat="1" outlineLevel="1" x14ac:dyDescent="0.3">
      <c r="B281" s="4"/>
      <c r="C281" s="3" t="s">
        <v>20</v>
      </c>
      <c r="D281" s="80" t="s">
        <v>74</v>
      </c>
      <c r="E281" s="139">
        <f t="shared" ref="E281:N281" si="190">SUM(E267:E270)+E274+SUM(E276:E279)</f>
        <v>39.099999999999994</v>
      </c>
      <c r="F281" s="139">
        <f t="shared" si="190"/>
        <v>214.79999999999998</v>
      </c>
      <c r="G281" s="139">
        <f t="shared" si="190"/>
        <v>1044.1000000000001</v>
      </c>
      <c r="H281" s="139">
        <f t="shared" si="190"/>
        <v>1668</v>
      </c>
      <c r="I281" s="139">
        <f t="shared" si="190"/>
        <v>2754.0000000000005</v>
      </c>
      <c r="J281" s="139">
        <f t="shared" ca="1" si="190"/>
        <v>3109.2063268427241</v>
      </c>
      <c r="K281" s="139">
        <f t="shared" ca="1" si="190"/>
        <v>3731.7929655137714</v>
      </c>
      <c r="L281" s="139">
        <f t="shared" ca="1" si="190"/>
        <v>4608.681510350375</v>
      </c>
      <c r="M281" s="139">
        <f t="shared" ca="1" si="190"/>
        <v>5260.5969910874237</v>
      </c>
      <c r="N281" s="139">
        <f t="shared" ca="1" si="190"/>
        <v>5927.7576208525188</v>
      </c>
      <c r="O281" s="4"/>
      <c r="P281" s="317"/>
      <c r="Q281" s="317" t="s">
        <v>459</v>
      </c>
      <c r="R281" s="317"/>
      <c r="S281" s="317"/>
      <c r="T281" s="317"/>
      <c r="U281" s="317"/>
      <c r="V281" s="317"/>
      <c r="W281" s="317"/>
      <c r="X281" s="317"/>
      <c r="Y281" s="317"/>
      <c r="Z281" s="317"/>
      <c r="AA281" s="4"/>
    </row>
    <row r="282" spans="2:27" outlineLevel="1" x14ac:dyDescent="0.3">
      <c r="C282" s="110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</row>
    <row r="283" spans="2:27" outlineLevel="1" x14ac:dyDescent="0.3">
      <c r="B283" s="188" t="s">
        <v>129</v>
      </c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Q283" s="317" t="s">
        <v>460</v>
      </c>
    </row>
    <row r="284" spans="2:27" outlineLevel="1" x14ac:dyDescent="0.3">
      <c r="C284" s="3" t="s">
        <v>21</v>
      </c>
      <c r="Q284" s="317" t="s">
        <v>461</v>
      </c>
    </row>
    <row r="285" spans="2:27" outlineLevel="1" x14ac:dyDescent="0.3">
      <c r="C285" s="50" t="s">
        <v>22</v>
      </c>
      <c r="D285" s="222" t="s">
        <v>74</v>
      </c>
      <c r="E285" s="115">
        <v>29.7</v>
      </c>
      <c r="F285" s="115">
        <v>180.4</v>
      </c>
      <c r="G285" s="115">
        <v>923.7</v>
      </c>
      <c r="H285" s="115">
        <v>1463</v>
      </c>
      <c r="I285" s="123">
        <v>2421</v>
      </c>
      <c r="J285" s="116">
        <f>+J274/J162</f>
        <v>2599.4760376598197</v>
      </c>
      <c r="K285" s="116">
        <f t="shared" ref="K285:N285" si="191">+K274/K162</f>
        <v>3117.3972134773376</v>
      </c>
      <c r="L285" s="116">
        <f t="shared" si="191"/>
        <v>3844.6941427831616</v>
      </c>
      <c r="M285" s="116">
        <f t="shared" si="191"/>
        <v>4365.3861664129163</v>
      </c>
      <c r="N285" s="116">
        <f t="shared" si="191"/>
        <v>4889.51239541223</v>
      </c>
      <c r="P285" s="317"/>
      <c r="Q285" s="317" t="s">
        <v>462</v>
      </c>
      <c r="R285" s="317"/>
      <c r="S285" s="317"/>
      <c r="T285" s="317"/>
      <c r="U285" s="317"/>
      <c r="V285" s="317"/>
      <c r="W285" s="317"/>
      <c r="X285" s="317"/>
      <c r="Y285" s="317"/>
      <c r="Z285" s="317"/>
    </row>
    <row r="286" spans="2:27" outlineLevel="1" x14ac:dyDescent="0.3">
      <c r="C286" s="50" t="s">
        <v>136</v>
      </c>
      <c r="D286" s="222" t="s">
        <v>74</v>
      </c>
      <c r="E286" s="64">
        <v>0</v>
      </c>
      <c r="F286" s="64">
        <v>0</v>
      </c>
      <c r="G286" s="64">
        <v>0</v>
      </c>
      <c r="H286" s="64">
        <v>24.6</v>
      </c>
      <c r="I286" s="158">
        <v>41</v>
      </c>
      <c r="J286" s="128">
        <f ca="1">+I286+J171</f>
        <v>76.804218315143316</v>
      </c>
      <c r="K286" s="128">
        <f t="shared" ref="K286:N286" ca="1" si="192">+J286+K171</f>
        <v>84.043652791715431</v>
      </c>
      <c r="L286" s="128">
        <f t="shared" ca="1" si="192"/>
        <v>135.13254567728745</v>
      </c>
      <c r="M286" s="128">
        <f t="shared" ca="1" si="192"/>
        <v>169.20793268745456</v>
      </c>
      <c r="N286" s="128">
        <f t="shared" ca="1" si="192"/>
        <v>214.45032427993465</v>
      </c>
      <c r="P286" s="317"/>
      <c r="Q286" s="317"/>
      <c r="R286" s="317"/>
      <c r="S286" s="317"/>
      <c r="T286" s="317"/>
      <c r="U286" s="317"/>
      <c r="V286" s="317"/>
      <c r="W286" s="317"/>
      <c r="X286" s="317"/>
      <c r="Y286" s="317"/>
      <c r="Z286" s="317"/>
    </row>
    <row r="287" spans="2:27" outlineLevel="1" x14ac:dyDescent="0.3">
      <c r="C287" s="50" t="s">
        <v>196</v>
      </c>
      <c r="D287" s="222" t="s">
        <v>74</v>
      </c>
      <c r="E287" s="64">
        <v>5</v>
      </c>
      <c r="F287" s="64">
        <v>0</v>
      </c>
      <c r="G287" s="64">
        <v>0</v>
      </c>
      <c r="H287" s="64">
        <v>27.6</v>
      </c>
      <c r="I287" s="158">
        <v>30.8</v>
      </c>
      <c r="J287" s="128">
        <f ca="1">+I287+J312+J336</f>
        <v>35.411934568027469</v>
      </c>
      <c r="K287" s="128">
        <f t="shared" ref="K287:N287" ca="1" si="193">+J287+K312+K336</f>
        <v>41.310513477708042</v>
      </c>
      <c r="L287" s="128">
        <f t="shared" ca="1" si="193"/>
        <v>48.614336415270401</v>
      </c>
      <c r="M287" s="128">
        <f t="shared" ca="1" si="193"/>
        <v>56.148593876234607</v>
      </c>
      <c r="N287" s="128">
        <f t="shared" ca="1" si="193"/>
        <v>64.611141821081347</v>
      </c>
      <c r="Q287" s="317" t="s">
        <v>463</v>
      </c>
    </row>
    <row r="288" spans="2:27" outlineLevel="1" x14ac:dyDescent="0.3">
      <c r="C288" s="50" t="s">
        <v>135</v>
      </c>
      <c r="D288" s="222" t="s">
        <v>74</v>
      </c>
      <c r="E288" s="64">
        <v>0</v>
      </c>
      <c r="F288" s="64">
        <v>0.1</v>
      </c>
      <c r="G288" s="64">
        <v>0</v>
      </c>
      <c r="H288" s="64">
        <v>0</v>
      </c>
      <c r="I288" s="158">
        <v>0</v>
      </c>
      <c r="J288" s="161">
        <f>+J$272*J164</f>
        <v>0</v>
      </c>
      <c r="K288" s="161">
        <f t="shared" ref="K288:N288" si="194">+K$272*K164</f>
        <v>0</v>
      </c>
      <c r="L288" s="161">
        <f t="shared" si="194"/>
        <v>0</v>
      </c>
      <c r="M288" s="161">
        <f t="shared" si="194"/>
        <v>0</v>
      </c>
      <c r="N288" s="161">
        <f t="shared" si="194"/>
        <v>0</v>
      </c>
    </row>
    <row r="289" spans="2:17" outlineLevel="1" x14ac:dyDescent="0.3">
      <c r="C289" s="50" t="s">
        <v>58</v>
      </c>
      <c r="D289" s="223" t="s">
        <v>74</v>
      </c>
      <c r="E289" s="64">
        <v>0.2</v>
      </c>
      <c r="F289" s="64">
        <v>4</v>
      </c>
      <c r="G289" s="64">
        <f>21.1+0.1</f>
        <v>21.200000000000003</v>
      </c>
      <c r="H289" s="64">
        <f>16.9+0.4</f>
        <v>17.299999999999997</v>
      </c>
      <c r="I289" s="158">
        <f>41.9+0.6</f>
        <v>42.5</v>
      </c>
      <c r="J289" s="128">
        <f t="shared" ref="J289:N289" si="195">+J$272*J165</f>
        <v>40.998056165473535</v>
      </c>
      <c r="K289" s="128">
        <f t="shared" si="195"/>
        <v>49.757224248842114</v>
      </c>
      <c r="L289" s="128">
        <f t="shared" si="195"/>
        <v>62.059577144570468</v>
      </c>
      <c r="M289" s="128">
        <f t="shared" si="195"/>
        <v>71.306319945228921</v>
      </c>
      <c r="N289" s="128">
        <f t="shared" si="195"/>
        <v>80.805929246233788</v>
      </c>
      <c r="Q289" s="4" t="s">
        <v>464</v>
      </c>
    </row>
    <row r="290" spans="2:17" outlineLevel="1" x14ac:dyDescent="0.3">
      <c r="C290" s="77" t="s">
        <v>23</v>
      </c>
      <c r="D290" s="80" t="s">
        <v>74</v>
      </c>
      <c r="E290" s="153">
        <f t="shared" ref="E290:J290" si="196">SUM(E285:E289)</f>
        <v>34.900000000000006</v>
      </c>
      <c r="F290" s="153">
        <f t="shared" si="196"/>
        <v>184.5</v>
      </c>
      <c r="G290" s="153">
        <f t="shared" si="196"/>
        <v>944.90000000000009</v>
      </c>
      <c r="H290" s="153">
        <f t="shared" si="196"/>
        <v>1532.4999999999998</v>
      </c>
      <c r="I290" s="153">
        <f t="shared" si="196"/>
        <v>2535.3000000000002</v>
      </c>
      <c r="J290" s="153">
        <f t="shared" ca="1" si="196"/>
        <v>2752.6902467084637</v>
      </c>
      <c r="K290" s="153">
        <f t="shared" ref="K290:N290" ca="1" si="197">SUM(K285:K289)</f>
        <v>3292.5086039956032</v>
      </c>
      <c r="L290" s="153">
        <f t="shared" ca="1" si="197"/>
        <v>4090.50060202029</v>
      </c>
      <c r="M290" s="153">
        <f t="shared" ca="1" si="197"/>
        <v>4662.0490129218342</v>
      </c>
      <c r="N290" s="153">
        <f t="shared" ca="1" si="197"/>
        <v>5249.3797907594799</v>
      </c>
    </row>
    <row r="291" spans="2:17" outlineLevel="1" x14ac:dyDescent="0.3">
      <c r="C291" s="3"/>
      <c r="I291" s="182"/>
      <c r="J291" s="159"/>
      <c r="K291" s="159"/>
      <c r="L291" s="159"/>
      <c r="M291" s="159"/>
      <c r="N291" s="159"/>
    </row>
    <row r="292" spans="2:17" outlineLevel="1" x14ac:dyDescent="0.3">
      <c r="C292" s="3" t="s">
        <v>140</v>
      </c>
      <c r="J292" s="159"/>
      <c r="K292" s="159"/>
      <c r="L292" s="159"/>
      <c r="M292" s="159"/>
      <c r="N292" s="159"/>
    </row>
    <row r="293" spans="2:17" outlineLevel="1" x14ac:dyDescent="0.3">
      <c r="C293" s="50" t="s">
        <v>138</v>
      </c>
      <c r="D293" s="222" t="s">
        <v>74</v>
      </c>
      <c r="E293" s="64">
        <v>2</v>
      </c>
      <c r="F293" s="64">
        <v>37</v>
      </c>
      <c r="G293" s="64">
        <v>112</v>
      </c>
      <c r="H293" s="64">
        <v>138</v>
      </c>
      <c r="I293" s="158">
        <v>186.6</v>
      </c>
      <c r="J293" s="128">
        <f>+I293+J335+J337</f>
        <v>278.60000000000002</v>
      </c>
      <c r="K293" s="128">
        <f t="shared" ref="K293:N293" si="198">+J293+K335+K337</f>
        <v>315.62</v>
      </c>
      <c r="L293" s="128">
        <f t="shared" si="198"/>
        <v>352.64</v>
      </c>
      <c r="M293" s="128">
        <f t="shared" si="198"/>
        <v>389.65999999999997</v>
      </c>
      <c r="N293" s="128">
        <f t="shared" si="198"/>
        <v>426.67999999999995</v>
      </c>
    </row>
    <row r="294" spans="2:17" outlineLevel="1" x14ac:dyDescent="0.3">
      <c r="C294" s="50" t="s">
        <v>137</v>
      </c>
      <c r="D294" s="222" t="s">
        <v>74</v>
      </c>
      <c r="E294" s="64">
        <v>0</v>
      </c>
      <c r="F294" s="64">
        <v>-0.5</v>
      </c>
      <c r="G294" s="64">
        <v>0.2</v>
      </c>
      <c r="H294" s="64">
        <v>0</v>
      </c>
      <c r="I294" s="158">
        <v>0</v>
      </c>
      <c r="J294" s="128">
        <f>+I294+J334</f>
        <v>0</v>
      </c>
      <c r="K294" s="128">
        <f t="shared" ref="K294:N294" si="199">+J294+K334</f>
        <v>0</v>
      </c>
      <c r="L294" s="128">
        <f t="shared" si="199"/>
        <v>0</v>
      </c>
      <c r="M294" s="128">
        <f t="shared" si="199"/>
        <v>0</v>
      </c>
      <c r="N294" s="128">
        <f t="shared" si="199"/>
        <v>0</v>
      </c>
    </row>
    <row r="295" spans="2:17" outlineLevel="1" x14ac:dyDescent="0.3">
      <c r="C295" s="50" t="s">
        <v>24</v>
      </c>
      <c r="D295" s="223" t="s">
        <v>74</v>
      </c>
      <c r="E295" s="64">
        <v>2.2000000000000002</v>
      </c>
      <c r="F295" s="64">
        <v>-6.2</v>
      </c>
      <c r="G295" s="64">
        <v>-13</v>
      </c>
      <c r="H295" s="64">
        <v>-2.5</v>
      </c>
      <c r="I295" s="158">
        <v>32.1</v>
      </c>
      <c r="J295" s="128">
        <f ca="1">+I295+J305+J338</f>
        <v>77.91608013426044</v>
      </c>
      <c r="K295" s="128">
        <f t="shared" ref="K295:N295" ca="1" si="200">+J295+K305+K338</f>
        <v>123.66436151816775</v>
      </c>
      <c r="L295" s="128">
        <f t="shared" ca="1" si="200"/>
        <v>165.54090833008493</v>
      </c>
      <c r="M295" s="128">
        <f t="shared" ca="1" si="200"/>
        <v>208.88797816558954</v>
      </c>
      <c r="N295" s="128">
        <f t="shared" ca="1" si="200"/>
        <v>251.69783009304092</v>
      </c>
    </row>
    <row r="296" spans="2:17" outlineLevel="1" x14ac:dyDescent="0.3">
      <c r="C296" s="77" t="s">
        <v>141</v>
      </c>
      <c r="D296" s="80" t="s">
        <v>74</v>
      </c>
      <c r="E296" s="153">
        <f t="shared" ref="E296:I296" si="201">SUM(E293:E295)</f>
        <v>4.2</v>
      </c>
      <c r="F296" s="153">
        <f t="shared" si="201"/>
        <v>30.3</v>
      </c>
      <c r="G296" s="153">
        <f t="shared" si="201"/>
        <v>99.2</v>
      </c>
      <c r="H296" s="153">
        <f t="shared" si="201"/>
        <v>135.5</v>
      </c>
      <c r="I296" s="153">
        <f t="shared" si="201"/>
        <v>218.7</v>
      </c>
      <c r="J296" s="153">
        <f ca="1">SUM(J293:J295)</f>
        <v>356.51608013426045</v>
      </c>
      <c r="K296" s="153">
        <f t="shared" ref="K296:N296" ca="1" si="202">SUM(K293:K295)</f>
        <v>439.28436151816777</v>
      </c>
      <c r="L296" s="153">
        <f t="shared" ca="1" si="202"/>
        <v>518.18090833008489</v>
      </c>
      <c r="M296" s="153">
        <f t="shared" ca="1" si="202"/>
        <v>598.54797816558948</v>
      </c>
      <c r="N296" s="153">
        <f t="shared" ca="1" si="202"/>
        <v>678.37783009304087</v>
      </c>
    </row>
    <row r="297" spans="2:17" outlineLevel="1" x14ac:dyDescent="0.3">
      <c r="C297" s="5"/>
      <c r="J297" s="159"/>
      <c r="K297" s="159"/>
      <c r="L297" s="159"/>
      <c r="M297" s="159"/>
      <c r="N297" s="159"/>
    </row>
    <row r="298" spans="2:17" outlineLevel="1" x14ac:dyDescent="0.3">
      <c r="C298" s="3" t="s">
        <v>139</v>
      </c>
      <c r="D298" s="80" t="s">
        <v>74</v>
      </c>
      <c r="E298" s="139">
        <f t="shared" ref="E298:I298" si="203">E296+E290</f>
        <v>39.100000000000009</v>
      </c>
      <c r="F298" s="139">
        <f t="shared" si="203"/>
        <v>214.8</v>
      </c>
      <c r="G298" s="139">
        <f t="shared" si="203"/>
        <v>1044.1000000000001</v>
      </c>
      <c r="H298" s="139">
        <f t="shared" si="203"/>
        <v>1667.9999999999998</v>
      </c>
      <c r="I298" s="139">
        <f t="shared" si="203"/>
        <v>2754</v>
      </c>
      <c r="J298" s="139">
        <f t="shared" ref="J298:N298" ca="1" si="204">J296+J290</f>
        <v>3109.2063268427241</v>
      </c>
      <c r="K298" s="139">
        <f t="shared" ca="1" si="204"/>
        <v>3731.7929655137709</v>
      </c>
      <c r="L298" s="139">
        <f t="shared" ca="1" si="204"/>
        <v>4608.681510350375</v>
      </c>
      <c r="M298" s="139">
        <f t="shared" ca="1" si="204"/>
        <v>5260.5969910874237</v>
      </c>
      <c r="N298" s="139">
        <f t="shared" ca="1" si="204"/>
        <v>5927.7576208525206</v>
      </c>
    </row>
    <row r="299" spans="2:17" outlineLevel="1" x14ac:dyDescent="0.3">
      <c r="C299" s="5"/>
    </row>
    <row r="300" spans="2:17" outlineLevel="1" x14ac:dyDescent="0.3">
      <c r="C300" s="5" t="s">
        <v>25</v>
      </c>
      <c r="D300" s="80"/>
      <c r="E300" s="190">
        <f t="shared" ref="E300:J300" si="205">+E281-E298</f>
        <v>0</v>
      </c>
      <c r="F300" s="190">
        <f t="shared" si="205"/>
        <v>0</v>
      </c>
      <c r="G300" s="190">
        <f t="shared" si="205"/>
        <v>0</v>
      </c>
      <c r="H300" s="190">
        <f t="shared" si="205"/>
        <v>0</v>
      </c>
      <c r="I300" s="309">
        <f t="shared" si="205"/>
        <v>0</v>
      </c>
      <c r="J300" s="190">
        <f t="shared" ca="1" si="205"/>
        <v>0</v>
      </c>
      <c r="K300" s="190">
        <f t="shared" ref="K300:N300" ca="1" si="206">+K281-K298</f>
        <v>0</v>
      </c>
      <c r="L300" s="190">
        <f t="shared" ca="1" si="206"/>
        <v>0</v>
      </c>
      <c r="M300" s="190">
        <f t="shared" ca="1" si="206"/>
        <v>0</v>
      </c>
      <c r="N300" s="190">
        <f t="shared" ca="1" si="206"/>
        <v>0</v>
      </c>
    </row>
    <row r="301" spans="2:17" x14ac:dyDescent="0.3">
      <c r="J301" s="182"/>
      <c r="K301" s="182"/>
      <c r="L301" s="182"/>
      <c r="M301" s="182"/>
      <c r="N301" s="182"/>
    </row>
    <row r="302" spans="2:17" x14ac:dyDescent="0.3">
      <c r="B302" s="21"/>
      <c r="C302" s="103"/>
      <c r="D302" s="104"/>
      <c r="E302" s="20" t="str">
        <f>+Loans!$E$65</f>
        <v>Historical</v>
      </c>
      <c r="F302" s="20"/>
      <c r="G302" s="20"/>
      <c r="H302" s="20"/>
      <c r="I302" s="20"/>
      <c r="J302" s="22" t="str">
        <f>+Loans!$J$65</f>
        <v>Projected</v>
      </c>
      <c r="K302" s="20"/>
      <c r="L302" s="20"/>
      <c r="M302" s="20"/>
      <c r="N302" s="20"/>
    </row>
    <row r="303" spans="2:17" x14ac:dyDescent="0.3">
      <c r="B303" s="83" t="s">
        <v>85</v>
      </c>
      <c r="C303" s="83"/>
      <c r="D303" s="85" t="str">
        <f>+Loans!$D$6</f>
        <v>Units:</v>
      </c>
      <c r="E303" s="89">
        <f>Loans!$E$6</f>
        <v>40543</v>
      </c>
      <c r="F303" s="89">
        <f>Loans!$F$6</f>
        <v>40908</v>
      </c>
      <c r="G303" s="89">
        <f>Loans!$G$6</f>
        <v>41274</v>
      </c>
      <c r="H303" s="89">
        <f>Loans!$H$6</f>
        <v>41639</v>
      </c>
      <c r="I303" s="90">
        <f>Loans!$I$6</f>
        <v>42004</v>
      </c>
      <c r="J303" s="89">
        <f>Loans!$J$6</f>
        <v>42369</v>
      </c>
      <c r="K303" s="89">
        <f>Loans!$K$6</f>
        <v>42735</v>
      </c>
      <c r="L303" s="89">
        <f>Loans!$L$6</f>
        <v>43100</v>
      </c>
      <c r="M303" s="89">
        <f>Loans!$M$6</f>
        <v>43465</v>
      </c>
      <c r="N303" s="89">
        <f>Loans!$N$6</f>
        <v>43830</v>
      </c>
    </row>
    <row r="304" spans="2:17" outlineLevel="1" x14ac:dyDescent="0.3">
      <c r="C304" s="110" t="s">
        <v>32</v>
      </c>
      <c r="J304" s="182"/>
      <c r="K304" s="182"/>
      <c r="L304" s="182"/>
      <c r="M304" s="182"/>
      <c r="N304" s="182"/>
    </row>
    <row r="305" spans="2:17" outlineLevel="1" x14ac:dyDescent="0.3">
      <c r="C305" s="55" t="s">
        <v>30</v>
      </c>
      <c r="D305" s="222" t="s">
        <v>74</v>
      </c>
      <c r="E305" s="225">
        <f t="shared" ref="E305:I305" si="207">+E257</f>
        <v>-0.27</v>
      </c>
      <c r="F305" s="225">
        <f t="shared" si="207"/>
        <v>-7.9970000000000008</v>
      </c>
      <c r="G305" s="225">
        <f t="shared" si="207"/>
        <v>-6.7880000000000011</v>
      </c>
      <c r="H305" s="225">
        <f t="shared" si="207"/>
        <v>12.799999999999994</v>
      </c>
      <c r="I305" s="225">
        <f t="shared" si="207"/>
        <v>34.500000000000028</v>
      </c>
      <c r="J305" s="225">
        <f ca="1">+J257</f>
        <v>45.816080134260439</v>
      </c>
      <c r="K305" s="225">
        <f t="shared" ref="K305:N305" ca="1" si="208">+K257</f>
        <v>50.831423759897028</v>
      </c>
      <c r="L305" s="225">
        <f t="shared" ca="1" si="208"/>
        <v>59.8236383027388</v>
      </c>
      <c r="M305" s="225">
        <f t="shared" ca="1" si="208"/>
        <v>66.687799746930182</v>
      </c>
      <c r="N305" s="225">
        <f t="shared" ca="1" si="208"/>
        <v>71.34975321241896</v>
      </c>
      <c r="Q305" s="39"/>
    </row>
    <row r="306" spans="2:17" outlineLevel="1" x14ac:dyDescent="0.3">
      <c r="C306" s="50" t="s">
        <v>192</v>
      </c>
      <c r="D306" s="222" t="s">
        <v>74</v>
      </c>
      <c r="E306" s="57">
        <f t="shared" ref="E306:I306" si="209">-E256</f>
        <v>-0.1</v>
      </c>
      <c r="F306" s="57">
        <f t="shared" si="209"/>
        <v>-2.2999999999999998</v>
      </c>
      <c r="G306" s="57">
        <f t="shared" si="209"/>
        <v>-0.3</v>
      </c>
      <c r="H306" s="57">
        <f t="shared" si="209"/>
        <v>3.3</v>
      </c>
      <c r="I306" s="135">
        <f t="shared" si="209"/>
        <v>10.8</v>
      </c>
      <c r="J306" s="161">
        <f ca="1">-J256</f>
        <v>11.45402003356511</v>
      </c>
      <c r="K306" s="161">
        <f t="shared" ref="K306:N306" ca="1" si="210">-K256</f>
        <v>12.707855939974259</v>
      </c>
      <c r="L306" s="161">
        <f t="shared" ca="1" si="210"/>
        <v>14.9559095756847</v>
      </c>
      <c r="M306" s="161">
        <f t="shared" ca="1" si="210"/>
        <v>16.671949936732545</v>
      </c>
      <c r="N306" s="161">
        <f t="shared" ca="1" si="210"/>
        <v>17.83743830310474</v>
      </c>
    </row>
    <row r="307" spans="2:17" outlineLevel="1" x14ac:dyDescent="0.3">
      <c r="C307" s="50" t="s">
        <v>168</v>
      </c>
      <c r="D307" s="222" t="s">
        <v>74</v>
      </c>
      <c r="E307" s="64">
        <v>0</v>
      </c>
      <c r="F307" s="64">
        <v>0</v>
      </c>
      <c r="G307" s="64">
        <v>0</v>
      </c>
      <c r="H307" s="64">
        <v>-2.8000000000000003</v>
      </c>
      <c r="I307" s="158">
        <v>-4.5999999999999996</v>
      </c>
      <c r="J307" s="161">
        <f ca="1">-J174</f>
        <v>-12.59942203692162</v>
      </c>
      <c r="K307" s="161">
        <f t="shared" ref="K307:N307" ca="1" si="211">-K174</f>
        <v>-13.978641533971684</v>
      </c>
      <c r="L307" s="161">
        <f t="shared" ca="1" si="211"/>
        <v>-16.451500533253171</v>
      </c>
      <c r="M307" s="161">
        <f t="shared" ca="1" si="211"/>
        <v>-18.339144930405801</v>
      </c>
      <c r="N307" s="161">
        <f t="shared" ca="1" si="211"/>
        <v>-19.621182133415214</v>
      </c>
    </row>
    <row r="308" spans="2:17" outlineLevel="1" x14ac:dyDescent="0.3">
      <c r="C308" s="31" t="s">
        <v>143</v>
      </c>
      <c r="G308" s="137"/>
      <c r="I308" s="182"/>
    </row>
    <row r="309" spans="2:17" ht="14.55" customHeight="1" outlineLevel="1" x14ac:dyDescent="0.3">
      <c r="C309" s="50" t="s">
        <v>152</v>
      </c>
      <c r="D309" s="222" t="s">
        <v>74</v>
      </c>
      <c r="E309" s="57">
        <f t="shared" ref="E309:I309" si="212">-E248-E229</f>
        <v>0</v>
      </c>
      <c r="F309" s="57">
        <f t="shared" si="212"/>
        <v>0.1</v>
      </c>
      <c r="G309" s="57">
        <f t="shared" si="212"/>
        <v>12.5</v>
      </c>
      <c r="H309" s="132">
        <f t="shared" si="212"/>
        <v>14.5</v>
      </c>
      <c r="I309" s="135">
        <f t="shared" si="212"/>
        <v>14.1</v>
      </c>
      <c r="J309" s="57">
        <f ca="1">-J229-J248</f>
        <v>14.837097391302557</v>
      </c>
      <c r="K309" s="161">
        <f t="shared" ref="K309:N309" ca="1" si="213">-K229-K248</f>
        <v>15.665224524238194</v>
      </c>
      <c r="L309" s="161">
        <f t="shared" ca="1" si="213"/>
        <v>16.607475915800279</v>
      </c>
      <c r="M309" s="161">
        <f t="shared" ca="1" si="213"/>
        <v>17.57559050058703</v>
      </c>
      <c r="N309" s="161">
        <f t="shared" ca="1" si="213"/>
        <v>18.340245343371386</v>
      </c>
    </row>
    <row r="310" spans="2:17" ht="14.55" customHeight="1" outlineLevel="1" x14ac:dyDescent="0.3">
      <c r="C310" s="50" t="s">
        <v>153</v>
      </c>
      <c r="D310" s="222" t="s">
        <v>74</v>
      </c>
      <c r="E310" s="57">
        <f t="shared" ref="E310:I310" si="214">-E249</f>
        <v>0</v>
      </c>
      <c r="F310" s="57">
        <f t="shared" si="214"/>
        <v>0</v>
      </c>
      <c r="G310" s="57">
        <f t="shared" si="214"/>
        <v>0.9</v>
      </c>
      <c r="H310" s="132">
        <f t="shared" si="214"/>
        <v>0.2</v>
      </c>
      <c r="I310" s="135">
        <f t="shared" si="214"/>
        <v>0.4</v>
      </c>
      <c r="J310" s="57">
        <f ca="1">-J249</f>
        <v>0.47413953044384527</v>
      </c>
      <c r="K310" s="161">
        <f t="shared" ref="K310:N310" ca="1" si="215">-K249</f>
        <v>0.5267698681998898</v>
      </c>
      <c r="L310" s="161">
        <f t="shared" ca="1" si="215"/>
        <v>0.6064108925207039</v>
      </c>
      <c r="M310" s="161">
        <f t="shared" ca="1" si="215"/>
        <v>0.68290997056110969</v>
      </c>
      <c r="N310" s="161">
        <f t="shared" ca="1" si="215"/>
        <v>0.73088865468307374</v>
      </c>
    </row>
    <row r="311" spans="2:17" ht="14.55" customHeight="1" outlineLevel="1" x14ac:dyDescent="0.3">
      <c r="C311" s="50" t="s">
        <v>104</v>
      </c>
      <c r="D311" s="222" t="s">
        <v>74</v>
      </c>
      <c r="E311" s="57">
        <f t="shared" ref="E311:I311" si="216">-E241</f>
        <v>0.4</v>
      </c>
      <c r="F311" s="57">
        <f t="shared" si="216"/>
        <v>0.2</v>
      </c>
      <c r="G311" s="57">
        <f t="shared" si="216"/>
        <v>2.7</v>
      </c>
      <c r="H311" s="132">
        <f t="shared" si="216"/>
        <v>3.5</v>
      </c>
      <c r="I311" s="135">
        <f t="shared" si="216"/>
        <v>6.6999999999999993</v>
      </c>
      <c r="J311" s="57">
        <f>-J241</f>
        <v>11.45487994018</v>
      </c>
      <c r="K311" s="161">
        <f t="shared" ref="K311:N311" si="217">-K241</f>
        <v>13.713386472707748</v>
      </c>
      <c r="L311" s="161">
        <f t="shared" si="217"/>
        <v>17.264533956286563</v>
      </c>
      <c r="M311" s="161">
        <f t="shared" si="217"/>
        <v>21.133386736041736</v>
      </c>
      <c r="N311" s="161">
        <f t="shared" si="217"/>
        <v>24.516625608968639</v>
      </c>
      <c r="Q311" s="39"/>
    </row>
    <row r="312" spans="2:17" outlineLevel="1" x14ac:dyDescent="0.3">
      <c r="C312" s="50" t="s">
        <v>154</v>
      </c>
      <c r="D312" s="222" t="s">
        <v>74</v>
      </c>
      <c r="E312" s="57">
        <f t="shared" ref="E312:I312" si="218">-E95</f>
        <v>0</v>
      </c>
      <c r="F312" s="57">
        <f t="shared" si="218"/>
        <v>0</v>
      </c>
      <c r="G312" s="57">
        <f t="shared" si="218"/>
        <v>0</v>
      </c>
      <c r="H312" s="132">
        <f t="shared" si="218"/>
        <v>0.5</v>
      </c>
      <c r="I312" s="135">
        <f t="shared" si="218"/>
        <v>3.2</v>
      </c>
      <c r="J312" s="57">
        <f ca="1">-J95</f>
        <v>3.6416564012415109</v>
      </c>
      <c r="K312" s="57">
        <f t="shared" ref="K312:N312" ca="1" si="219">-K95</f>
        <v>4.2197346425154532</v>
      </c>
      <c r="L312" s="57">
        <f t="shared" ca="1" si="219"/>
        <v>4.9458667441138147</v>
      </c>
      <c r="M312" s="57">
        <f t="shared" ca="1" si="219"/>
        <v>5.7619611660327754</v>
      </c>
      <c r="N312" s="57">
        <f t="shared" ca="1" si="219"/>
        <v>6.6417854633523783</v>
      </c>
      <c r="Q312" s="316"/>
    </row>
    <row r="313" spans="2:17" ht="14.55" customHeight="1" outlineLevel="1" x14ac:dyDescent="0.3">
      <c r="C313" s="50" t="s">
        <v>207</v>
      </c>
      <c r="D313" s="222" t="s">
        <v>74</v>
      </c>
      <c r="E313" s="64">
        <v>0</v>
      </c>
      <c r="F313" s="64">
        <v>0</v>
      </c>
      <c r="G313" s="57">
        <f>-G247</f>
        <v>-0.3</v>
      </c>
      <c r="H313" s="64">
        <v>-1.1000000000000001</v>
      </c>
      <c r="I313" s="158">
        <v>-0.7</v>
      </c>
      <c r="J313" s="57">
        <f ca="1">-J247</f>
        <v>-0.68787159304637402</v>
      </c>
      <c r="K313" s="57">
        <f t="shared" ref="K313:N313" ca="1" si="220">-K247</f>
        <v>-0.7642265728577583</v>
      </c>
      <c r="L313" s="57">
        <f t="shared" ca="1" si="220"/>
        <v>-0.87976808491038316</v>
      </c>
      <c r="M313" s="57">
        <f t="shared" ca="1" si="220"/>
        <v>-0.99075132781563813</v>
      </c>
      <c r="N313" s="57">
        <f t="shared" ca="1" si="220"/>
        <v>-1.0603577870120473</v>
      </c>
    </row>
    <row r="314" spans="2:17" outlineLevel="1" x14ac:dyDescent="0.3">
      <c r="C314" s="50" t="s">
        <v>172</v>
      </c>
      <c r="D314" s="222" t="s">
        <v>74</v>
      </c>
      <c r="E314" s="57">
        <f>E237</f>
        <v>0</v>
      </c>
      <c r="F314" s="57">
        <f>F237</f>
        <v>0</v>
      </c>
      <c r="G314" s="64">
        <v>0.2</v>
      </c>
      <c r="H314" s="132">
        <f>H237</f>
        <v>0</v>
      </c>
      <c r="I314" s="158">
        <f t="shared" ref="I314" si="221">-I237</f>
        <v>0.1</v>
      </c>
      <c r="J314" s="57">
        <f>-J237</f>
        <v>0</v>
      </c>
      <c r="K314" s="57">
        <f t="shared" ref="K314:N314" si="222">-K237</f>
        <v>0</v>
      </c>
      <c r="L314" s="57">
        <f t="shared" si="222"/>
        <v>0</v>
      </c>
      <c r="M314" s="57">
        <f t="shared" si="222"/>
        <v>0</v>
      </c>
      <c r="N314" s="57">
        <f t="shared" si="222"/>
        <v>0</v>
      </c>
    </row>
    <row r="315" spans="2:17" s="41" customFormat="1" outlineLevel="1" x14ac:dyDescent="0.3">
      <c r="B315" s="4"/>
      <c r="C315" s="55" t="s">
        <v>167</v>
      </c>
      <c r="D315" s="226"/>
      <c r="E315" s="108"/>
      <c r="F315" s="108"/>
      <c r="G315" s="108"/>
      <c r="H315" s="108"/>
      <c r="I315" s="161"/>
      <c r="J315" s="108"/>
      <c r="K315" s="108"/>
      <c r="L315" s="108"/>
      <c r="M315" s="108"/>
      <c r="N315" s="108"/>
      <c r="O315" s="4"/>
    </row>
    <row r="316" spans="2:17" outlineLevel="1" x14ac:dyDescent="0.3">
      <c r="C316" s="50" t="s">
        <v>134</v>
      </c>
      <c r="D316" s="222" t="s">
        <v>74</v>
      </c>
      <c r="E316" s="64">
        <v>0</v>
      </c>
      <c r="F316" s="64">
        <v>-18.5</v>
      </c>
      <c r="G316" s="64">
        <v>-63.5</v>
      </c>
      <c r="H316" s="64">
        <v>82</v>
      </c>
      <c r="I316" s="158">
        <v>0</v>
      </c>
      <c r="J316" s="57">
        <f>+I269-J269</f>
        <v>0</v>
      </c>
      <c r="K316" s="57">
        <f t="shared" ref="K316:N316" si="223">+J269-K269</f>
        <v>0</v>
      </c>
      <c r="L316" s="57">
        <f t="shared" si="223"/>
        <v>0</v>
      </c>
      <c r="M316" s="57">
        <f t="shared" si="223"/>
        <v>0</v>
      </c>
      <c r="N316" s="57">
        <f t="shared" si="223"/>
        <v>0</v>
      </c>
    </row>
    <row r="317" spans="2:17" outlineLevel="1" x14ac:dyDescent="0.3">
      <c r="C317" s="50" t="s">
        <v>169</v>
      </c>
      <c r="D317" s="222" t="s">
        <v>74</v>
      </c>
      <c r="E317" s="64">
        <v>0</v>
      </c>
      <c r="F317" s="64">
        <v>0</v>
      </c>
      <c r="G317" s="64">
        <v>0</v>
      </c>
      <c r="H317" s="64">
        <v>-0.5</v>
      </c>
      <c r="I317" s="158">
        <v>-1</v>
      </c>
      <c r="J317" s="57">
        <f>-I347+J347</f>
        <v>-0.76144882229029931</v>
      </c>
      <c r="K317" s="57">
        <f t="shared" ref="K317:N317" si="224">-J347+K347</f>
        <v>-1.333811799302111</v>
      </c>
      <c r="L317" s="57">
        <f t="shared" si="224"/>
        <v>-1.9256008718060382</v>
      </c>
      <c r="M317" s="57">
        <f t="shared" si="224"/>
        <v>-1.9558102815701632</v>
      </c>
      <c r="N317" s="57">
        <f t="shared" si="224"/>
        <v>-2.244518127123043</v>
      </c>
      <c r="Q317" s="39"/>
    </row>
    <row r="318" spans="2:17" outlineLevel="1" x14ac:dyDescent="0.3">
      <c r="C318" s="50" t="s">
        <v>170</v>
      </c>
      <c r="D318" s="222" t="s">
        <v>74</v>
      </c>
      <c r="E318" s="64">
        <v>4.4000000000000004</v>
      </c>
      <c r="F318" s="64">
        <v>-89.7</v>
      </c>
      <c r="G318" s="64">
        <v>-312.2</v>
      </c>
      <c r="H318" s="64">
        <v>-665.6</v>
      </c>
      <c r="I318" s="158">
        <v>-749</v>
      </c>
      <c r="J318" s="161">
        <f>+Loans!I13-Loans!J13</f>
        <v>-326.13091759999952</v>
      </c>
      <c r="K318" s="161">
        <f>+Loans!J13-Loans!K13</f>
        <v>-562.80853442499938</v>
      </c>
      <c r="L318" s="161">
        <f>+Loans!K13-Loans!L13</f>
        <v>-790.28137398300032</v>
      </c>
      <c r="M318" s="161">
        <f>+Loans!L13-Loans!M13</f>
        <v>-595.89311250252013</v>
      </c>
      <c r="N318" s="161">
        <f>+Loans!M13-Loans!N13</f>
        <v>-613.26176543238398</v>
      </c>
    </row>
    <row r="319" spans="2:17" outlineLevel="1" x14ac:dyDescent="0.3">
      <c r="C319" s="50" t="s">
        <v>171</v>
      </c>
      <c r="D319" s="222" t="s">
        <v>74</v>
      </c>
      <c r="E319" s="64">
        <v>0</v>
      </c>
      <c r="F319" s="64">
        <v>0</v>
      </c>
      <c r="G319" s="64">
        <v>0</v>
      </c>
      <c r="H319" s="64">
        <v>0</v>
      </c>
      <c r="I319" s="158">
        <v>-3.7</v>
      </c>
      <c r="J319" s="57">
        <f>+I270-J270+J288-I288</f>
        <v>-0.27276387415998871</v>
      </c>
      <c r="K319" s="57">
        <f t="shared" ref="K319:N319" si="225">+J270-K270+K288-J288</f>
        <v>-0.7915358738227245</v>
      </c>
      <c r="L319" s="57">
        <f t="shared" si="225"/>
        <v>-1.111523601169579</v>
      </c>
      <c r="M319" s="57">
        <f t="shared" si="225"/>
        <v>-0.79577054416773674</v>
      </c>
      <c r="N319" s="57">
        <f t="shared" si="225"/>
        <v>-0.8010190199493854</v>
      </c>
    </row>
    <row r="320" spans="2:17" outlineLevel="1" x14ac:dyDescent="0.3">
      <c r="C320" s="50" t="s">
        <v>19</v>
      </c>
      <c r="D320" s="222" t="s">
        <v>74</v>
      </c>
      <c r="E320" s="64">
        <v>0.3</v>
      </c>
      <c r="F320" s="64">
        <v>-2.4</v>
      </c>
      <c r="G320" s="64">
        <v>-3.7</v>
      </c>
      <c r="H320" s="64">
        <v>6.9</v>
      </c>
      <c r="I320" s="158">
        <v>0.7</v>
      </c>
      <c r="J320" s="161">
        <f>+I279-J279</f>
        <v>-0.54400000000000048</v>
      </c>
      <c r="K320" s="161">
        <f t="shared" ref="K320:N320" si="226">+J279-K279</f>
        <v>-0.51408000000000076</v>
      </c>
      <c r="L320" s="161">
        <f t="shared" si="226"/>
        <v>-0.4714848000000007</v>
      </c>
      <c r="M320" s="161">
        <f t="shared" si="226"/>
        <v>-0.41647824</v>
      </c>
      <c r="N320" s="161">
        <f t="shared" si="226"/>
        <v>-0.34984172160000071</v>
      </c>
    </row>
    <row r="321" spans="3:17" outlineLevel="1" x14ac:dyDescent="0.3">
      <c r="C321" s="50" t="s">
        <v>57</v>
      </c>
      <c r="D321" s="222" t="s">
        <v>74</v>
      </c>
      <c r="E321" s="64">
        <v>-1.3</v>
      </c>
      <c r="F321" s="64">
        <v>150.80000000000001</v>
      </c>
      <c r="G321" s="64">
        <v>743.3</v>
      </c>
      <c r="H321" s="64">
        <v>539.29999999999995</v>
      </c>
      <c r="I321" s="158">
        <v>958.1</v>
      </c>
      <c r="J321" s="161">
        <f>+J285-I285</f>
        <v>178.47603765981967</v>
      </c>
      <c r="K321" s="161">
        <f t="shared" ref="K321:N321" si="227">+K285-J285</f>
        <v>517.92117581751791</v>
      </c>
      <c r="L321" s="161">
        <f t="shared" si="227"/>
        <v>727.29692930582405</v>
      </c>
      <c r="M321" s="161">
        <f t="shared" si="227"/>
        <v>520.69202362975466</v>
      </c>
      <c r="N321" s="161">
        <f t="shared" si="227"/>
        <v>524.12622899931375</v>
      </c>
    </row>
    <row r="322" spans="3:17" outlineLevel="1" x14ac:dyDescent="0.3">
      <c r="C322" s="50" t="s">
        <v>58</v>
      </c>
      <c r="D322" s="223" t="s">
        <v>74</v>
      </c>
      <c r="E322" s="64">
        <v>-0.3</v>
      </c>
      <c r="F322" s="64">
        <v>5.6</v>
      </c>
      <c r="G322" s="64">
        <v>3.5</v>
      </c>
      <c r="H322" s="64">
        <v>-4.4000000000000004</v>
      </c>
      <c r="I322" s="158">
        <v>12.2</v>
      </c>
      <c r="J322" s="161">
        <f>+J289-I289</f>
        <v>-1.5019438345264646</v>
      </c>
      <c r="K322" s="161">
        <f t="shared" ref="K322:N322" si="228">+K289-J289</f>
        <v>8.7591680833685786</v>
      </c>
      <c r="L322" s="161">
        <f t="shared" si="228"/>
        <v>12.302352895728355</v>
      </c>
      <c r="M322" s="161">
        <f t="shared" si="228"/>
        <v>9.2467428006584527</v>
      </c>
      <c r="N322" s="161">
        <f t="shared" si="228"/>
        <v>9.4996093010048668</v>
      </c>
      <c r="Q322" s="39"/>
    </row>
    <row r="323" spans="3:17" outlineLevel="1" x14ac:dyDescent="0.3">
      <c r="C323" s="168" t="s">
        <v>33</v>
      </c>
      <c r="D323" s="222" t="s">
        <v>74</v>
      </c>
      <c r="E323" s="162">
        <f t="shared" ref="E323:J323" si="229">SUM(E305:E322)</f>
        <v>3.1300000000000008</v>
      </c>
      <c r="F323" s="162">
        <f t="shared" si="229"/>
        <v>35.803000000000004</v>
      </c>
      <c r="G323" s="162">
        <f t="shared" si="229"/>
        <v>376.31199999999995</v>
      </c>
      <c r="H323" s="162">
        <f t="shared" si="229"/>
        <v>-11.400000000000114</v>
      </c>
      <c r="I323" s="162">
        <f t="shared" si="229"/>
        <v>281.8</v>
      </c>
      <c r="J323" s="162">
        <f t="shared" ca="1" si="229"/>
        <v>-76.344456670131137</v>
      </c>
      <c r="K323" s="162">
        <f t="shared" ref="K323:N323" ca="1" si="230">SUM(K305:K322)</f>
        <v>44.153908903465421</v>
      </c>
      <c r="L323" s="162">
        <f t="shared" ca="1" si="230"/>
        <v>42.68186571455778</v>
      </c>
      <c r="M323" s="162">
        <f t="shared" ca="1" si="230"/>
        <v>40.061296660819025</v>
      </c>
      <c r="N323" s="162">
        <f t="shared" ca="1" si="230"/>
        <v>35.703890664734118</v>
      </c>
    </row>
    <row r="324" spans="3:17" outlineLevel="1" x14ac:dyDescent="0.3">
      <c r="G324" s="163"/>
      <c r="H324" s="163"/>
      <c r="I324" s="163"/>
      <c r="J324" s="163"/>
      <c r="Q324" s="39"/>
    </row>
    <row r="325" spans="3:17" outlineLevel="1" x14ac:dyDescent="0.3">
      <c r="C325" s="110" t="s">
        <v>34</v>
      </c>
      <c r="G325" s="163"/>
      <c r="H325" s="163"/>
      <c r="I325" s="163"/>
    </row>
    <row r="326" spans="3:17" outlineLevel="1" x14ac:dyDescent="0.3">
      <c r="C326" s="50" t="s">
        <v>155</v>
      </c>
      <c r="D326" s="222" t="s">
        <v>74</v>
      </c>
      <c r="E326" s="64">
        <v>0</v>
      </c>
      <c r="F326" s="64">
        <v>-0.5</v>
      </c>
      <c r="G326" s="64">
        <v>-12.5</v>
      </c>
      <c r="H326" s="64">
        <v>-11.2</v>
      </c>
      <c r="I326" s="158">
        <v>-11</v>
      </c>
      <c r="J326" s="161">
        <f ca="1">-J239*J180</f>
        <v>-13.757431860927481</v>
      </c>
      <c r="K326" s="161">
        <f t="shared" ref="K326:N326" ca="1" si="231">-K239*K180</f>
        <v>-15.284531457155166</v>
      </c>
      <c r="L326" s="161">
        <f t="shared" ca="1" si="231"/>
        <v>-17.595361698207665</v>
      </c>
      <c r="M326" s="161">
        <f t="shared" ca="1" si="231"/>
        <v>-19.815026556312763</v>
      </c>
      <c r="N326" s="161">
        <f t="shared" ca="1" si="231"/>
        <v>-21.20715574024095</v>
      </c>
      <c r="Q326" s="39"/>
    </row>
    <row r="327" spans="3:17" outlineLevel="1" x14ac:dyDescent="0.3">
      <c r="C327" s="50" t="s">
        <v>158</v>
      </c>
      <c r="D327" s="222" t="s">
        <v>74</v>
      </c>
      <c r="E327" s="64">
        <v>0</v>
      </c>
      <c r="F327" s="64">
        <v>0</v>
      </c>
      <c r="G327" s="64">
        <v>3.7</v>
      </c>
      <c r="H327" s="64">
        <v>3.8</v>
      </c>
      <c r="I327" s="158">
        <v>2.2000000000000002</v>
      </c>
      <c r="J327" s="161">
        <f ca="1">-J239*J181</f>
        <v>2.7514863721854961</v>
      </c>
      <c r="K327" s="161">
        <f t="shared" ref="K327:N327" ca="1" si="232">-K239*K181</f>
        <v>3.0569062914310332</v>
      </c>
      <c r="L327" s="161">
        <f t="shared" ca="1" si="232"/>
        <v>3.5190723396415327</v>
      </c>
      <c r="M327" s="161">
        <f t="shared" ca="1" si="232"/>
        <v>3.9630053112625525</v>
      </c>
      <c r="N327" s="161">
        <f t="shared" ca="1" si="232"/>
        <v>4.2414311480481892</v>
      </c>
    </row>
    <row r="328" spans="3:17" outlineLevel="1" x14ac:dyDescent="0.3">
      <c r="C328" s="50" t="s">
        <v>156</v>
      </c>
      <c r="D328" s="222" t="s">
        <v>74</v>
      </c>
      <c r="E328" s="64">
        <v>0</v>
      </c>
      <c r="F328" s="64">
        <v>0</v>
      </c>
      <c r="G328" s="64">
        <v>0</v>
      </c>
      <c r="H328" s="64">
        <v>-1.1000000000000001</v>
      </c>
      <c r="I328" s="158">
        <v>-3.9</v>
      </c>
      <c r="J328" s="161">
        <f ca="1">-J239*J184</f>
        <v>-3.6499971038750485</v>
      </c>
      <c r="K328" s="161">
        <f t="shared" ref="K328:N328" ca="1" si="233">-K239*K184</f>
        <v>-4.0551533248838751</v>
      </c>
      <c r="L328" s="161">
        <f t="shared" ca="1" si="233"/>
        <v>-4.6682418556977847</v>
      </c>
      <c r="M328" s="161">
        <f t="shared" ca="1" si="233"/>
        <v>-5.2571432135643414</v>
      </c>
      <c r="N328" s="161">
        <f t="shared" ca="1" si="233"/>
        <v>-5.626490308350915</v>
      </c>
      <c r="Q328" s="39"/>
    </row>
    <row r="329" spans="3:17" outlineLevel="1" x14ac:dyDescent="0.3">
      <c r="C329" s="50" t="s">
        <v>157</v>
      </c>
      <c r="D329" s="223" t="s">
        <v>74</v>
      </c>
      <c r="E329" s="64">
        <v>0</v>
      </c>
      <c r="F329" s="64">
        <v>-8.1999999999999993</v>
      </c>
      <c r="G329" s="64">
        <v>-12.7</v>
      </c>
      <c r="H329" s="64">
        <v>0</v>
      </c>
      <c r="I329" s="158">
        <v>-76.3</v>
      </c>
      <c r="J329" s="161">
        <f>+J185</f>
        <v>0</v>
      </c>
      <c r="K329" s="161">
        <f t="shared" ref="K329:N329" si="234">+K185</f>
        <v>0</v>
      </c>
      <c r="L329" s="161">
        <f t="shared" si="234"/>
        <v>0</v>
      </c>
      <c r="M329" s="161">
        <f t="shared" si="234"/>
        <v>0</v>
      </c>
      <c r="N329" s="161">
        <f t="shared" si="234"/>
        <v>0</v>
      </c>
    </row>
    <row r="330" spans="3:17" outlineLevel="1" x14ac:dyDescent="0.3">
      <c r="C330" s="168" t="s">
        <v>35</v>
      </c>
      <c r="D330" s="222" t="s">
        <v>74</v>
      </c>
      <c r="E330" s="162">
        <f t="shared" ref="E330:I330" si="235">SUM(E326:E329)</f>
        <v>0</v>
      </c>
      <c r="F330" s="162">
        <f t="shared" si="235"/>
        <v>-8.6999999999999993</v>
      </c>
      <c r="G330" s="164">
        <f t="shared" si="235"/>
        <v>-21.5</v>
      </c>
      <c r="H330" s="162">
        <f t="shared" si="235"/>
        <v>-8.5</v>
      </c>
      <c r="I330" s="162">
        <f t="shared" si="235"/>
        <v>-89</v>
      </c>
      <c r="J330" s="162">
        <f ca="1">SUM(J326:J329)</f>
        <v>-14.655942592617032</v>
      </c>
      <c r="K330" s="162">
        <f t="shared" ref="K330:N330" ca="1" si="236">SUM(K326:K329)</f>
        <v>-16.28277849060801</v>
      </c>
      <c r="L330" s="162">
        <f t="shared" ca="1" si="236"/>
        <v>-18.744531214263915</v>
      </c>
      <c r="M330" s="162">
        <f t="shared" ca="1" si="236"/>
        <v>-21.109164458614551</v>
      </c>
      <c r="N330" s="162">
        <f t="shared" ca="1" si="236"/>
        <v>-22.592214900543674</v>
      </c>
    </row>
    <row r="331" spans="3:17" outlineLevel="1" x14ac:dyDescent="0.3">
      <c r="C331" s="108"/>
      <c r="D331" s="226"/>
      <c r="E331" s="108"/>
      <c r="F331" s="108"/>
      <c r="G331" s="163"/>
      <c r="H331" s="163"/>
      <c r="I331" s="163"/>
      <c r="J331" s="108"/>
      <c r="K331" s="108"/>
      <c r="L331" s="108"/>
      <c r="M331" s="108"/>
      <c r="N331" s="108"/>
      <c r="Q331" s="39"/>
    </row>
    <row r="332" spans="3:17" outlineLevel="1" x14ac:dyDescent="0.3">
      <c r="C332" s="109" t="s">
        <v>36</v>
      </c>
      <c r="D332" s="226"/>
      <c r="E332" s="108"/>
      <c r="F332" s="108"/>
      <c r="G332" s="163"/>
      <c r="H332" s="163"/>
      <c r="I332" s="163"/>
      <c r="J332" s="108"/>
      <c r="K332" s="108"/>
      <c r="L332" s="108"/>
      <c r="M332" s="108"/>
      <c r="N332" s="108"/>
    </row>
    <row r="333" spans="3:17" outlineLevel="1" x14ac:dyDescent="0.3">
      <c r="C333" s="50" t="s">
        <v>195</v>
      </c>
      <c r="D333" s="222" t="s">
        <v>74</v>
      </c>
      <c r="E333" s="64">
        <v>0</v>
      </c>
      <c r="F333" s="64">
        <v>0</v>
      </c>
      <c r="G333" s="64">
        <v>0</v>
      </c>
      <c r="H333" s="64">
        <v>24.6</v>
      </c>
      <c r="I333" s="158">
        <v>16.399999999999999</v>
      </c>
      <c r="J333" s="161">
        <f ca="1">+J286-I286</f>
        <v>35.804218315143316</v>
      </c>
      <c r="K333" s="161">
        <f t="shared" ref="K333:N333" ca="1" si="237">+K286-J286</f>
        <v>7.2394344765721144</v>
      </c>
      <c r="L333" s="161">
        <f t="shared" ca="1" si="237"/>
        <v>51.088892885572022</v>
      </c>
      <c r="M333" s="161">
        <f t="shared" ca="1" si="237"/>
        <v>34.075387010167105</v>
      </c>
      <c r="N333" s="161">
        <f t="shared" ca="1" si="237"/>
        <v>45.242391592480089</v>
      </c>
    </row>
    <row r="334" spans="3:17" outlineLevel="1" x14ac:dyDescent="0.3">
      <c r="C334" s="50" t="s">
        <v>221</v>
      </c>
      <c r="D334" s="222" t="s">
        <v>74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128">
        <f>+J187</f>
        <v>0</v>
      </c>
      <c r="K334" s="128">
        <f t="shared" ref="K334:N334" si="238">+K187</f>
        <v>0</v>
      </c>
      <c r="L334" s="128">
        <f t="shared" si="238"/>
        <v>0</v>
      </c>
      <c r="M334" s="128">
        <f t="shared" si="238"/>
        <v>0</v>
      </c>
      <c r="N334" s="128">
        <f t="shared" si="238"/>
        <v>0</v>
      </c>
      <c r="Q334" s="39"/>
    </row>
    <row r="335" spans="3:17" outlineLevel="1" x14ac:dyDescent="0.3">
      <c r="C335" s="50" t="s">
        <v>159</v>
      </c>
      <c r="D335" s="222" t="s">
        <v>74</v>
      </c>
      <c r="E335" s="64">
        <v>0</v>
      </c>
      <c r="F335" s="64">
        <v>0</v>
      </c>
      <c r="G335" s="64">
        <v>-325.10000000000002</v>
      </c>
      <c r="H335" s="64">
        <v>0</v>
      </c>
      <c r="I335" s="158">
        <v>-138.19999999999999</v>
      </c>
      <c r="J335" s="128">
        <f>+J188</f>
        <v>0</v>
      </c>
      <c r="K335" s="128">
        <f t="shared" ref="K335:N335" si="239">+K188</f>
        <v>0</v>
      </c>
      <c r="L335" s="128">
        <f t="shared" si="239"/>
        <v>0</v>
      </c>
      <c r="M335" s="128">
        <f t="shared" si="239"/>
        <v>0</v>
      </c>
      <c r="N335" s="128">
        <f t="shared" si="239"/>
        <v>0</v>
      </c>
    </row>
    <row r="336" spans="3:17" outlineLevel="1" x14ac:dyDescent="0.3">
      <c r="C336" s="50" t="s">
        <v>199</v>
      </c>
      <c r="D336" s="222" t="s">
        <v>74</v>
      </c>
      <c r="E336" s="64">
        <v>0</v>
      </c>
      <c r="F336" s="64">
        <v>-5</v>
      </c>
      <c r="G336" s="64">
        <v>0</v>
      </c>
      <c r="H336" s="64">
        <v>27.1</v>
      </c>
      <c r="I336" s="158">
        <v>0</v>
      </c>
      <c r="J336" s="161">
        <f>(J272-I272)*J163</f>
        <v>0.97027816678595902</v>
      </c>
      <c r="K336" s="161">
        <f t="shared" ref="K336:N336" si="240">(K272-J272)*K163</f>
        <v>1.6788442671651165</v>
      </c>
      <c r="L336" s="161">
        <f t="shared" si="240"/>
        <v>2.3579561934485413</v>
      </c>
      <c r="M336" s="161">
        <f t="shared" si="240"/>
        <v>1.7722962949314278</v>
      </c>
      <c r="N336" s="161">
        <f t="shared" si="240"/>
        <v>1.8207624814943684</v>
      </c>
    </row>
    <row r="337" spans="2:17" outlineLevel="1" x14ac:dyDescent="0.3">
      <c r="C337" s="50" t="s">
        <v>160</v>
      </c>
      <c r="D337" s="222" t="s">
        <v>74</v>
      </c>
      <c r="E337" s="64">
        <v>0</v>
      </c>
      <c r="F337" s="64">
        <v>35</v>
      </c>
      <c r="G337" s="64">
        <v>75</v>
      </c>
      <c r="H337" s="64">
        <v>17.8</v>
      </c>
      <c r="I337" s="158">
        <v>47.3</v>
      </c>
      <c r="J337" s="161">
        <f>+J211</f>
        <v>92</v>
      </c>
      <c r="K337" s="161">
        <f t="shared" ref="K337:N337" si="241">+K211</f>
        <v>37.019999999999996</v>
      </c>
      <c r="L337" s="161">
        <f t="shared" si="241"/>
        <v>37.019999999999996</v>
      </c>
      <c r="M337" s="161">
        <f t="shared" si="241"/>
        <v>37.019999999999996</v>
      </c>
      <c r="N337" s="161">
        <f t="shared" si="241"/>
        <v>37.019999999999996</v>
      </c>
      <c r="Q337" s="39"/>
    </row>
    <row r="338" spans="2:17" outlineLevel="1" x14ac:dyDescent="0.3">
      <c r="C338" s="50" t="s">
        <v>161</v>
      </c>
      <c r="D338" s="223" t="s">
        <v>74</v>
      </c>
      <c r="E338" s="64">
        <v>0</v>
      </c>
      <c r="F338" s="64">
        <v>0</v>
      </c>
      <c r="G338" s="64">
        <v>0</v>
      </c>
      <c r="H338" s="64">
        <v>0</v>
      </c>
      <c r="I338" s="158">
        <v>0</v>
      </c>
      <c r="J338" s="161">
        <f ca="1">-J207</f>
        <v>0</v>
      </c>
      <c r="K338" s="161">
        <f t="shared" ref="K338:N338" ca="1" si="242">-K207</f>
        <v>-5.083142375989703</v>
      </c>
      <c r="L338" s="161">
        <f t="shared" ca="1" si="242"/>
        <v>-17.947091490821638</v>
      </c>
      <c r="M338" s="161">
        <f t="shared" ca="1" si="242"/>
        <v>-23.340729911425562</v>
      </c>
      <c r="N338" s="161">
        <f t="shared" ca="1" si="242"/>
        <v>-28.539901284967584</v>
      </c>
    </row>
    <row r="339" spans="2:17" outlineLevel="1" x14ac:dyDescent="0.3">
      <c r="C339" s="168" t="s">
        <v>37</v>
      </c>
      <c r="D339" s="222" t="s">
        <v>74</v>
      </c>
      <c r="E339" s="220">
        <f t="shared" ref="E339:I339" si="243">SUM(E333:E338)</f>
        <v>0</v>
      </c>
      <c r="F339" s="220">
        <f t="shared" si="243"/>
        <v>30</v>
      </c>
      <c r="G339" s="220">
        <f t="shared" si="243"/>
        <v>-250.10000000000002</v>
      </c>
      <c r="H339" s="220">
        <f t="shared" si="243"/>
        <v>69.5</v>
      </c>
      <c r="I339" s="220">
        <f t="shared" si="243"/>
        <v>-74.499999999999986</v>
      </c>
      <c r="J339" s="220">
        <f ca="1">SUM(J333:J338)</f>
        <v>128.77449648192928</v>
      </c>
      <c r="K339" s="220">
        <f t="shared" ref="K339:N339" ca="1" si="244">SUM(K333:K338)</f>
        <v>40.855136367747527</v>
      </c>
      <c r="L339" s="220">
        <f t="shared" ca="1" si="244"/>
        <v>72.519757588198928</v>
      </c>
      <c r="M339" s="220">
        <f t="shared" ca="1" si="244"/>
        <v>49.526953393672962</v>
      </c>
      <c r="N339" s="220">
        <f t="shared" ca="1" si="244"/>
        <v>55.543252789006871</v>
      </c>
    </row>
    <row r="340" spans="2:17" outlineLevel="1" x14ac:dyDescent="0.3">
      <c r="C340" s="108"/>
      <c r="D340" s="226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</row>
    <row r="341" spans="2:17" outlineLevel="1" x14ac:dyDescent="0.3">
      <c r="C341" s="109" t="s">
        <v>162</v>
      </c>
      <c r="D341" s="222" t="s">
        <v>74</v>
      </c>
      <c r="E341" s="227">
        <f t="shared" ref="E341:I341" si="245">+E339+E330+E323</f>
        <v>3.1300000000000008</v>
      </c>
      <c r="F341" s="227">
        <f t="shared" si="245"/>
        <v>57.103000000000009</v>
      </c>
      <c r="G341" s="227">
        <f t="shared" si="245"/>
        <v>104.71199999999993</v>
      </c>
      <c r="H341" s="227">
        <f t="shared" si="245"/>
        <v>49.599999999999888</v>
      </c>
      <c r="I341" s="227">
        <f t="shared" si="245"/>
        <v>118.30000000000001</v>
      </c>
      <c r="J341" s="227">
        <f ca="1">+J323+J330+J339</f>
        <v>37.774097219181101</v>
      </c>
      <c r="K341" s="227">
        <f t="shared" ref="K341:N341" ca="1" si="246">+K323+K330+K339</f>
        <v>68.726266780604931</v>
      </c>
      <c r="L341" s="227">
        <f t="shared" ca="1" si="246"/>
        <v>96.4570920884928</v>
      </c>
      <c r="M341" s="227">
        <f t="shared" ca="1" si="246"/>
        <v>68.479085595877436</v>
      </c>
      <c r="N341" s="227">
        <f t="shared" ca="1" si="246"/>
        <v>68.654928553197323</v>
      </c>
      <c r="Q341" s="39"/>
    </row>
    <row r="342" spans="2:17" outlineLevel="1" x14ac:dyDescent="0.3">
      <c r="C342" s="108"/>
      <c r="D342" s="226"/>
      <c r="E342" s="108"/>
      <c r="F342" s="108"/>
      <c r="G342" s="108"/>
      <c r="H342" s="108"/>
      <c r="I342" s="108"/>
      <c r="J342" s="228"/>
      <c r="K342" s="228"/>
      <c r="L342" s="228"/>
      <c r="M342" s="228"/>
      <c r="N342" s="228"/>
    </row>
    <row r="343" spans="2:17" outlineLevel="1" x14ac:dyDescent="0.3">
      <c r="C343" s="37" t="s">
        <v>38</v>
      </c>
      <c r="D343" s="222" t="s">
        <v>74</v>
      </c>
      <c r="E343" s="64"/>
      <c r="F343" s="128"/>
      <c r="G343" s="128"/>
      <c r="H343" s="64">
        <v>180.1</v>
      </c>
      <c r="I343" s="134">
        <f>+H344</f>
        <v>229.69999999999987</v>
      </c>
      <c r="J343" s="128">
        <f>+I344</f>
        <v>347.99999999999989</v>
      </c>
      <c r="K343" s="128">
        <f t="shared" ref="K343:N343" ca="1" si="247">+J344</f>
        <v>385.77409721918099</v>
      </c>
      <c r="L343" s="128">
        <f t="shared" ca="1" si="247"/>
        <v>454.50036399978592</v>
      </c>
      <c r="M343" s="128">
        <f t="shared" ca="1" si="247"/>
        <v>550.95745608827872</v>
      </c>
      <c r="N343" s="128">
        <f t="shared" ca="1" si="247"/>
        <v>619.43654168415617</v>
      </c>
    </row>
    <row r="344" spans="2:17" outlineLevel="1" x14ac:dyDescent="0.3">
      <c r="C344" s="109" t="s">
        <v>39</v>
      </c>
      <c r="D344" s="222" t="s">
        <v>74</v>
      </c>
      <c r="E344" s="225"/>
      <c r="F344" s="225"/>
      <c r="G344" s="225"/>
      <c r="H344" s="225">
        <f>+H343+H341</f>
        <v>229.69999999999987</v>
      </c>
      <c r="I344" s="225">
        <f t="shared" ref="I344" si="248">+I343+I341</f>
        <v>347.99999999999989</v>
      </c>
      <c r="J344" s="225">
        <f ca="1">+J341+J343</f>
        <v>385.77409721918099</v>
      </c>
      <c r="K344" s="225">
        <f t="shared" ref="K344:N344" ca="1" si="249">+K341+K343</f>
        <v>454.50036399978592</v>
      </c>
      <c r="L344" s="225">
        <f t="shared" ca="1" si="249"/>
        <v>550.95745608827872</v>
      </c>
      <c r="M344" s="225">
        <f t="shared" ca="1" si="249"/>
        <v>619.43654168415617</v>
      </c>
      <c r="N344" s="225">
        <f t="shared" ca="1" si="249"/>
        <v>688.09147023735352</v>
      </c>
    </row>
    <row r="345" spans="2:17" outlineLevel="1" x14ac:dyDescent="0.3">
      <c r="C345" s="108"/>
      <c r="D345" s="226"/>
      <c r="E345" s="57"/>
      <c r="F345" s="57"/>
      <c r="G345" s="57"/>
      <c r="H345" s="57"/>
      <c r="I345" s="57"/>
      <c r="J345" s="161"/>
      <c r="K345" s="161"/>
      <c r="L345" s="161"/>
      <c r="M345" s="161"/>
      <c r="N345" s="161"/>
    </row>
    <row r="346" spans="2:17" outlineLevel="1" x14ac:dyDescent="0.3">
      <c r="C346" s="108" t="s">
        <v>41</v>
      </c>
      <c r="D346" s="222" t="s">
        <v>74</v>
      </c>
      <c r="E346" s="161"/>
      <c r="F346" s="161"/>
      <c r="G346" s="161"/>
      <c r="H346" s="161">
        <f>+H267+H268</f>
        <v>230.4</v>
      </c>
      <c r="I346" s="227">
        <f>+I267+I268</f>
        <v>349.70000000000005</v>
      </c>
      <c r="J346" s="161">
        <f ca="1">+J267+J268</f>
        <v>388.23554604147137</v>
      </c>
      <c r="K346" s="161">
        <f t="shared" ref="K346:N346" ca="1" si="250">+K267+K268</f>
        <v>458.29562462137898</v>
      </c>
      <c r="L346" s="161">
        <f t="shared" ca="1" si="250"/>
        <v>556.67831758167722</v>
      </c>
      <c r="M346" s="161">
        <f t="shared" ca="1" si="250"/>
        <v>627.11321345912404</v>
      </c>
      <c r="N346" s="161">
        <f t="shared" ca="1" si="250"/>
        <v>698.01266013944371</v>
      </c>
    </row>
    <row r="347" spans="2:17" outlineLevel="1" x14ac:dyDescent="0.3">
      <c r="C347" s="50" t="s">
        <v>403</v>
      </c>
      <c r="D347" s="223" t="s">
        <v>74</v>
      </c>
      <c r="E347" s="57"/>
      <c r="F347" s="57"/>
      <c r="G347" s="57"/>
      <c r="H347" s="64">
        <v>-0.7</v>
      </c>
      <c r="I347" s="158">
        <v>-1.7</v>
      </c>
      <c r="J347" s="161">
        <f>-J267*J159</f>
        <v>-2.4614488222902993</v>
      </c>
      <c r="K347" s="161">
        <f t="shared" ref="K347:N347" si="251">-K267*K159</f>
        <v>-3.7952606215924103</v>
      </c>
      <c r="L347" s="161">
        <f t="shared" si="251"/>
        <v>-5.7208614933984485</v>
      </c>
      <c r="M347" s="161">
        <f t="shared" si="251"/>
        <v>-7.6766717749686118</v>
      </c>
      <c r="N347" s="161">
        <f t="shared" si="251"/>
        <v>-9.9211899020916547</v>
      </c>
    </row>
    <row r="348" spans="2:17" outlineLevel="1" x14ac:dyDescent="0.3">
      <c r="C348" s="168" t="s">
        <v>164</v>
      </c>
      <c r="D348" s="222" t="s">
        <v>74</v>
      </c>
      <c r="E348" s="63"/>
      <c r="F348" s="63"/>
      <c r="G348" s="63"/>
      <c r="H348" s="195">
        <f>SUM(H346:H347)</f>
        <v>229.70000000000002</v>
      </c>
      <c r="I348" s="195">
        <f>SUM(I346:I347)</f>
        <v>348.00000000000006</v>
      </c>
      <c r="J348" s="220">
        <f ca="1">SUM(J346:J347)</f>
        <v>385.77409721918104</v>
      </c>
      <c r="K348" s="220">
        <f t="shared" ref="K348:N348" ca="1" si="252">SUM(K346:K347)</f>
        <v>454.50036399978654</v>
      </c>
      <c r="L348" s="220">
        <f t="shared" ca="1" si="252"/>
        <v>550.95745608827872</v>
      </c>
      <c r="M348" s="220">
        <f t="shared" ca="1" si="252"/>
        <v>619.43654168415537</v>
      </c>
      <c r="N348" s="220">
        <f t="shared" ca="1" si="252"/>
        <v>688.09147023735204</v>
      </c>
    </row>
    <row r="349" spans="2:17" outlineLevel="1" x14ac:dyDescent="0.3">
      <c r="C349" s="108"/>
      <c r="E349" s="57"/>
      <c r="F349" s="57"/>
      <c r="G349" s="57"/>
      <c r="H349" s="57"/>
      <c r="I349" s="57"/>
      <c r="J349" s="161"/>
      <c r="K349" s="161"/>
      <c r="L349" s="161"/>
      <c r="M349" s="161"/>
      <c r="N349" s="161"/>
    </row>
    <row r="350" spans="2:17" outlineLevel="1" x14ac:dyDescent="0.3">
      <c r="C350" s="108" t="s">
        <v>165</v>
      </c>
      <c r="E350" s="160"/>
      <c r="F350" s="160"/>
      <c r="G350" s="160"/>
      <c r="H350" s="160">
        <f>+H344-H348</f>
        <v>0</v>
      </c>
      <c r="I350" s="275">
        <f t="shared" ref="I350" si="253">+I344-I348</f>
        <v>0</v>
      </c>
      <c r="J350" s="160">
        <f ca="1">+J344-J348</f>
        <v>0</v>
      </c>
      <c r="K350" s="160">
        <f t="shared" ref="K350:N350" ca="1" si="254">+K344-K348</f>
        <v>-6.2527760746888816E-13</v>
      </c>
      <c r="L350" s="160">
        <f t="shared" ca="1" si="254"/>
        <v>0</v>
      </c>
      <c r="M350" s="160">
        <f t="shared" ca="1" si="254"/>
        <v>0</v>
      </c>
      <c r="N350" s="160">
        <f t="shared" ca="1" si="254"/>
        <v>1.4779288903810084E-12</v>
      </c>
    </row>
    <row r="351" spans="2:17" x14ac:dyDescent="0.3">
      <c r="J351" s="144"/>
      <c r="K351" s="144"/>
      <c r="L351" s="144"/>
      <c r="M351" s="144"/>
      <c r="N351" s="144"/>
    </row>
    <row r="352" spans="2:17" x14ac:dyDescent="0.3">
      <c r="B352" s="21"/>
      <c r="C352" s="103"/>
      <c r="D352" s="104"/>
      <c r="E352" s="20" t="str">
        <f>+Loans!$E$65</f>
        <v>Historical</v>
      </c>
      <c r="F352" s="20"/>
      <c r="G352" s="20"/>
      <c r="H352" s="20"/>
      <c r="I352" s="20"/>
      <c r="J352" s="22" t="str">
        <f>+Loans!$J$65</f>
        <v>Projected</v>
      </c>
      <c r="K352" s="20"/>
      <c r="L352" s="20"/>
      <c r="M352" s="20"/>
      <c r="N352" s="20"/>
    </row>
    <row r="353" spans="2:14" x14ac:dyDescent="0.3">
      <c r="B353" s="83" t="s">
        <v>339</v>
      </c>
      <c r="C353" s="83"/>
      <c r="D353" s="85" t="str">
        <f>+Loans!$D$6</f>
        <v>Units:</v>
      </c>
      <c r="E353" s="89">
        <f>Loans!$E$6</f>
        <v>40543</v>
      </c>
      <c r="F353" s="89">
        <f>Loans!$F$6</f>
        <v>40908</v>
      </c>
      <c r="G353" s="89">
        <f>Loans!$G$6</f>
        <v>41274</v>
      </c>
      <c r="H353" s="89">
        <f>Loans!$H$6</f>
        <v>41639</v>
      </c>
      <c r="I353" s="90">
        <f>Loans!$I$6</f>
        <v>42004</v>
      </c>
      <c r="J353" s="89">
        <f>Loans!$J$6</f>
        <v>42369</v>
      </c>
      <c r="K353" s="89">
        <f>Loans!$K$6</f>
        <v>42735</v>
      </c>
      <c r="L353" s="89">
        <f>Loans!$L$6</f>
        <v>43100</v>
      </c>
      <c r="M353" s="89">
        <f>Loans!$M$6</f>
        <v>43465</v>
      </c>
      <c r="N353" s="89">
        <f>Loans!$N$6</f>
        <v>43830</v>
      </c>
    </row>
    <row r="354" spans="2:14" outlineLevel="1" x14ac:dyDescent="0.3"/>
    <row r="355" spans="2:14" outlineLevel="1" x14ac:dyDescent="0.3">
      <c r="C355" t="s">
        <v>340</v>
      </c>
      <c r="D355" s="80" t="s">
        <v>84</v>
      </c>
      <c r="E355" s="18">
        <f>+E274/E281</f>
        <v>0.56010230179028142</v>
      </c>
      <c r="F355" s="18">
        <f t="shared" ref="F355:I355" si="255">+F274/F281</f>
        <v>0.51536312849162014</v>
      </c>
      <c r="G355" s="18">
        <f t="shared" si="255"/>
        <v>0.71372473900967337</v>
      </c>
      <c r="H355" s="18">
        <f t="shared" si="255"/>
        <v>0.80749400479616296</v>
      </c>
      <c r="I355" s="66">
        <f t="shared" si="255"/>
        <v>0.82962962962962961</v>
      </c>
      <c r="J355" s="18"/>
      <c r="K355" s="18"/>
      <c r="L355" s="18"/>
      <c r="M355" s="18"/>
      <c r="N355" s="18"/>
    </row>
    <row r="356" spans="2:14" outlineLevel="1" x14ac:dyDescent="0.3">
      <c r="C356" t="s">
        <v>341</v>
      </c>
      <c r="D356" s="80" t="s">
        <v>84</v>
      </c>
      <c r="E356" s="18">
        <f>+E285/E298</f>
        <v>0.75959079283887454</v>
      </c>
      <c r="F356" s="18">
        <f t="shared" ref="F356:I356" si="256">+F285/F298</f>
        <v>0.83985102420856605</v>
      </c>
      <c r="G356" s="18">
        <f t="shared" si="256"/>
        <v>0.88468537496408384</v>
      </c>
      <c r="H356" s="18">
        <f t="shared" si="256"/>
        <v>0.87709832134292576</v>
      </c>
      <c r="I356" s="66">
        <f t="shared" si="256"/>
        <v>0.87908496732026142</v>
      </c>
      <c r="J356" s="18"/>
      <c r="K356" s="18"/>
      <c r="L356" s="18"/>
      <c r="M356" s="18"/>
      <c r="N356" s="18"/>
    </row>
    <row r="357" spans="2:14" outlineLevel="1" x14ac:dyDescent="0.3">
      <c r="C357" t="s">
        <v>342</v>
      </c>
      <c r="D357" s="80" t="s">
        <v>84</v>
      </c>
      <c r="E357" s="18">
        <f>+E274/E285</f>
        <v>0.73737373737373735</v>
      </c>
      <c r="F357" s="18">
        <f t="shared" ref="F357:I357" si="257">+F274/F285</f>
        <v>0.61363636363636365</v>
      </c>
      <c r="G357" s="18">
        <f t="shared" si="257"/>
        <v>0.80675544007794742</v>
      </c>
      <c r="H357" s="18">
        <f t="shared" si="257"/>
        <v>0.92064251537935737</v>
      </c>
      <c r="I357" s="66">
        <f t="shared" si="257"/>
        <v>0.94374225526641886</v>
      </c>
      <c r="J357" s="18"/>
      <c r="K357" s="18"/>
      <c r="L357" s="18"/>
      <c r="M357" s="18"/>
      <c r="N357" s="18"/>
    </row>
    <row r="358" spans="2:14" outlineLevel="1" x14ac:dyDescent="0.3">
      <c r="C358"/>
    </row>
    <row r="359" spans="2:14" outlineLevel="1" x14ac:dyDescent="0.3">
      <c r="C359" s="4" t="s">
        <v>11</v>
      </c>
      <c r="D359" s="80" t="s">
        <v>84</v>
      </c>
      <c r="E359" s="69" t="str">
        <f>+Loans!E121</f>
        <v>N/A</v>
      </c>
      <c r="F359" s="69">
        <f>+Loans!F121</f>
        <v>0</v>
      </c>
      <c r="G359" s="69">
        <f>+Loans!G121</f>
        <v>4.6565774155995343E-4</v>
      </c>
      <c r="H359" s="69">
        <f>+Loans!H121</f>
        <v>8.5702042565347807E-4</v>
      </c>
      <c r="I359" s="184">
        <f>+Loans!I121</f>
        <v>5.4821555835754619E-4</v>
      </c>
      <c r="J359" s="69"/>
      <c r="K359" s="69"/>
      <c r="L359" s="69"/>
      <c r="M359" s="69"/>
      <c r="N359" s="69"/>
    </row>
    <row r="360" spans="2:14" outlineLevel="1" x14ac:dyDescent="0.3">
      <c r="C360" s="4" t="s">
        <v>343</v>
      </c>
      <c r="D360" s="80" t="s">
        <v>84</v>
      </c>
      <c r="E360" s="69">
        <f>+Loans!E122</f>
        <v>0.19999999999999998</v>
      </c>
      <c r="F360" s="69">
        <f>+Loans!F122</f>
        <v>0</v>
      </c>
      <c r="G360" s="69">
        <f>+Loans!G122</f>
        <v>7.1428571428571425E-2</v>
      </c>
      <c r="H360" s="69">
        <f>+Loans!H122</f>
        <v>0.16666666666666666</v>
      </c>
      <c r="I360" s="184">
        <f>+Loans!I122</f>
        <v>9.00900900900901E-2</v>
      </c>
      <c r="J360" s="69"/>
      <c r="K360" s="69"/>
      <c r="L360" s="69"/>
      <c r="M360" s="69"/>
      <c r="N360" s="69"/>
    </row>
    <row r="361" spans="2:14" outlineLevel="1" x14ac:dyDescent="0.3">
      <c r="C361" s="4" t="s">
        <v>99</v>
      </c>
      <c r="D361" s="80" t="s">
        <v>84</v>
      </c>
      <c r="E361" s="69">
        <f>+Loans!E123</f>
        <v>6.4102564102564111E-2</v>
      </c>
      <c r="F361" s="69">
        <f>+Loans!F123</f>
        <v>2.7027027027027033E-3</v>
      </c>
      <c r="G361" s="69">
        <f>+Loans!G123</f>
        <v>3.7433155080213907E-3</v>
      </c>
      <c r="H361" s="69">
        <f>+Loans!H123</f>
        <v>3.9931967758633441E-3</v>
      </c>
      <c r="I361" s="184">
        <f>+Loans!I123</f>
        <v>4.8347053443094212E-3</v>
      </c>
      <c r="J361" s="69"/>
      <c r="K361" s="69"/>
      <c r="L361" s="69"/>
      <c r="M361" s="69"/>
      <c r="N361" s="69"/>
    </row>
    <row r="362" spans="2:14" outlineLevel="1" x14ac:dyDescent="0.3">
      <c r="C362"/>
    </row>
    <row r="363" spans="2:14" outlineLevel="1" x14ac:dyDescent="0.3">
      <c r="C363" t="s">
        <v>50</v>
      </c>
      <c r="D363" s="80" t="s">
        <v>84</v>
      </c>
      <c r="E363" s="289" t="s">
        <v>272</v>
      </c>
      <c r="F363" s="18">
        <f>+F257/AVERAGE(E296,F296)</f>
        <v>-0.46359420289855074</v>
      </c>
      <c r="G363" s="18">
        <f t="shared" ref="G363:I363" si="258">+G257/AVERAGE(F296,G296)</f>
        <v>-0.10483397683397686</v>
      </c>
      <c r="H363" s="18">
        <f t="shared" si="258"/>
        <v>0.10907541542394542</v>
      </c>
      <c r="I363" s="66">
        <f t="shared" si="258"/>
        <v>0.19480519480519498</v>
      </c>
      <c r="J363" s="18"/>
      <c r="K363" s="18"/>
      <c r="L363" s="18"/>
      <c r="M363" s="18"/>
      <c r="N363" s="18"/>
    </row>
    <row r="364" spans="2:14" outlineLevel="1" x14ac:dyDescent="0.3">
      <c r="C364" t="s">
        <v>51</v>
      </c>
      <c r="D364" s="80" t="s">
        <v>84</v>
      </c>
      <c r="E364" s="289" t="s">
        <v>272</v>
      </c>
      <c r="F364" s="18"/>
      <c r="G364" s="18"/>
      <c r="H364" s="18"/>
      <c r="I364" s="66"/>
      <c r="J364" s="18"/>
      <c r="K364" s="18"/>
      <c r="L364" s="18"/>
      <c r="M364" s="18"/>
      <c r="N364" s="18"/>
    </row>
    <row r="365" spans="2:14" outlineLevel="1" x14ac:dyDescent="0.3">
      <c r="C365" t="s">
        <v>344</v>
      </c>
      <c r="D365" s="80" t="s">
        <v>84</v>
      </c>
      <c r="E365" s="289" t="s">
        <v>272</v>
      </c>
      <c r="F365" s="18">
        <f>+F257/AVERAGE(E296,F296)</f>
        <v>-0.46359420289855074</v>
      </c>
      <c r="G365" s="18">
        <f t="shared" ref="G365:I365" si="259">+G257/AVERAGE(F296,G296)</f>
        <v>-0.10483397683397686</v>
      </c>
      <c r="H365" s="18">
        <f t="shared" si="259"/>
        <v>0.10907541542394542</v>
      </c>
      <c r="I365" s="66">
        <f t="shared" si="259"/>
        <v>0.19480519480519498</v>
      </c>
      <c r="J365" s="18"/>
      <c r="K365" s="18"/>
      <c r="L365" s="18"/>
      <c r="M365" s="18"/>
      <c r="N365" s="18"/>
    </row>
    <row r="366" spans="2:14" outlineLevel="1" x14ac:dyDescent="0.3">
      <c r="C366" t="s">
        <v>52</v>
      </c>
      <c r="D366" s="80" t="s">
        <v>84</v>
      </c>
      <c r="E366" s="289" t="s">
        <v>272</v>
      </c>
      <c r="F366" s="18">
        <f>+F257/AVERAGE(E281,F281)</f>
        <v>-6.2993304450571108E-2</v>
      </c>
      <c r="G366" s="18">
        <f t="shared" ref="G366:I366" si="260">+G257/AVERAGE(F281,G281)</f>
        <v>-1.0784017793311623E-2</v>
      </c>
      <c r="H366" s="18">
        <f t="shared" si="260"/>
        <v>9.4391799712399919E-3</v>
      </c>
      <c r="I366" s="66">
        <f t="shared" si="260"/>
        <v>1.560379918588875E-2</v>
      </c>
      <c r="J366" s="18"/>
      <c r="K366" s="18"/>
      <c r="L366" s="18"/>
      <c r="M366" s="18"/>
      <c r="N366" s="18"/>
    </row>
    <row r="367" spans="2:14" outlineLevel="1" x14ac:dyDescent="0.3">
      <c r="C367" t="s">
        <v>53</v>
      </c>
      <c r="D367" s="80" t="s">
        <v>84</v>
      </c>
      <c r="E367" s="289" t="s">
        <v>272</v>
      </c>
      <c r="F367" s="18"/>
      <c r="G367" s="18"/>
      <c r="H367" s="18"/>
      <c r="I367" s="66"/>
      <c r="J367" s="18"/>
      <c r="K367" s="18"/>
      <c r="L367" s="18"/>
      <c r="M367" s="18"/>
      <c r="N367" s="18"/>
    </row>
    <row r="368" spans="2:14" outlineLevel="1" x14ac:dyDescent="0.3">
      <c r="C368"/>
    </row>
    <row r="369" spans="3:14" outlineLevel="1" x14ac:dyDescent="0.3">
      <c r="C369" t="s">
        <v>73</v>
      </c>
      <c r="D369" s="80" t="s">
        <v>84</v>
      </c>
      <c r="E369" s="289" t="s">
        <v>272</v>
      </c>
      <c r="F369" s="18">
        <f t="shared" ref="F369:I369" si="261">+F224/F41</f>
        <v>1.4688391038696538E-2</v>
      </c>
      <c r="G369" s="18">
        <f t="shared" si="261"/>
        <v>3.6419100441979366E-2</v>
      </c>
      <c r="H369" s="18">
        <f t="shared" si="261"/>
        <v>4.7233932719607671E-2</v>
      </c>
      <c r="I369" s="66">
        <f t="shared" si="261"/>
        <v>5.5329580044716227E-2</v>
      </c>
      <c r="J369" s="18"/>
      <c r="K369" s="18"/>
      <c r="L369" s="18"/>
      <c r="M369" s="18"/>
      <c r="N369" s="18"/>
    </row>
    <row r="370" spans="3:14" outlineLevel="1" x14ac:dyDescent="0.3">
      <c r="C370" t="s">
        <v>345</v>
      </c>
      <c r="D370" s="80" t="s">
        <v>84</v>
      </c>
      <c r="E370" s="289" t="s">
        <v>272</v>
      </c>
      <c r="F370" s="18">
        <f t="shared" ref="F370:I370" si="262">+F70</f>
        <v>3.9103869653767817E-2</v>
      </c>
      <c r="G370" s="18">
        <f t="shared" si="262"/>
        <v>8.3889418493803616E-2</v>
      </c>
      <c r="H370" s="18">
        <f t="shared" si="262"/>
        <v>8.0271874731136547E-2</v>
      </c>
      <c r="I370" s="66">
        <f t="shared" si="262"/>
        <v>8.4422056407079185E-2</v>
      </c>
      <c r="J370" s="18"/>
      <c r="K370" s="18"/>
      <c r="L370" s="18"/>
      <c r="M370" s="18"/>
      <c r="N370" s="18"/>
    </row>
    <row r="371" spans="3:14" outlineLevel="1" x14ac:dyDescent="0.3">
      <c r="C371" t="s">
        <v>346</v>
      </c>
      <c r="D371" s="80" t="s">
        <v>84</v>
      </c>
      <c r="E371" s="289" t="s">
        <v>272</v>
      </c>
      <c r="F371" s="18">
        <f t="shared" ref="F371:I371" si="263">+F112</f>
        <v>2.7866108786610874E-2</v>
      </c>
      <c r="G371" s="18">
        <f t="shared" si="263"/>
        <v>4.9611448238384204E-2</v>
      </c>
      <c r="H371" s="18">
        <f t="shared" si="263"/>
        <v>3.1489605969904473E-2</v>
      </c>
      <c r="I371" s="66">
        <f t="shared" si="263"/>
        <v>2.6946107784431142E-2</v>
      </c>
      <c r="J371" s="18"/>
      <c r="K371" s="18"/>
      <c r="L371" s="18"/>
      <c r="M371" s="18"/>
      <c r="N371" s="18"/>
    </row>
    <row r="372" spans="3:14" outlineLevel="1" x14ac:dyDescent="0.3">
      <c r="C372" s="5" t="s">
        <v>362</v>
      </c>
      <c r="D372" s="80" t="s">
        <v>84</v>
      </c>
      <c r="E372" s="289" t="s">
        <v>272</v>
      </c>
      <c r="F372" s="18">
        <f>+F370-F371</f>
        <v>1.1237760867156943E-2</v>
      </c>
      <c r="G372" s="18">
        <f t="shared" ref="G372:I372" si="264">+G370-G371</f>
        <v>3.4277970255419413E-2</v>
      </c>
      <c r="H372" s="18">
        <f t="shared" si="264"/>
        <v>4.8782268761232074E-2</v>
      </c>
      <c r="I372" s="66">
        <f t="shared" si="264"/>
        <v>5.7475948622648043E-2</v>
      </c>
      <c r="J372" s="18"/>
      <c r="K372" s="18"/>
      <c r="L372" s="18"/>
      <c r="M372" s="18"/>
      <c r="N372" s="18"/>
    </row>
    <row r="373" spans="3:14" outlineLevel="1" x14ac:dyDescent="0.3">
      <c r="C373"/>
    </row>
    <row r="374" spans="3:14" outlineLevel="1" x14ac:dyDescent="0.3">
      <c r="C374" t="s">
        <v>347</v>
      </c>
      <c r="D374" s="80" t="s">
        <v>84</v>
      </c>
      <c r="E374" s="18">
        <f>+E224/E239</f>
        <v>0.64308943089430903</v>
      </c>
      <c r="F374" s="18">
        <f t="shared" ref="F374:I374" si="265">+F224/F239</f>
        <v>0.81842941443486161</v>
      </c>
      <c r="G374" s="18">
        <f t="shared" si="265"/>
        <v>0.85372988785958059</v>
      </c>
      <c r="H374" s="18">
        <f t="shared" si="265"/>
        <v>0.91347753743760396</v>
      </c>
      <c r="I374" s="66">
        <f t="shared" si="265"/>
        <v>0.91532976827094459</v>
      </c>
      <c r="J374" s="18"/>
      <c r="K374" s="18"/>
      <c r="L374" s="18"/>
      <c r="M374" s="18"/>
      <c r="N374" s="18"/>
    </row>
    <row r="375" spans="3:14" outlineLevel="1" x14ac:dyDescent="0.3">
      <c r="C375" t="s">
        <v>54</v>
      </c>
      <c r="D375" s="80" t="s">
        <v>84</v>
      </c>
      <c r="E375" s="18">
        <f>(-E246-E250-E252)/E239</f>
        <v>0.97560975609756095</v>
      </c>
      <c r="F375" s="18">
        <f t="shared" ref="F375:I375" si="266">(-F246-F250-F252)/F239</f>
        <v>5.0385837494325934</v>
      </c>
      <c r="G375" s="18">
        <f t="shared" si="266"/>
        <v>1.0482691370063384</v>
      </c>
      <c r="H375" s="18">
        <f t="shared" si="266"/>
        <v>0.64725457570715494</v>
      </c>
      <c r="I375" s="66">
        <f t="shared" si="266"/>
        <v>0.51426024955436711</v>
      </c>
      <c r="J375" s="18"/>
      <c r="K375" s="18"/>
      <c r="L375" s="18"/>
      <c r="M375" s="18"/>
      <c r="N375" s="18"/>
    </row>
    <row r="376" spans="3:14" outlineLevel="1" x14ac:dyDescent="0.3">
      <c r="C376" t="s">
        <v>348</v>
      </c>
      <c r="D376" s="80" t="s">
        <v>84</v>
      </c>
      <c r="E376" s="18">
        <f>-E338/E257</f>
        <v>0</v>
      </c>
      <c r="F376" s="18">
        <f t="shared" ref="F376:I376" si="267">-F338/F257</f>
        <v>0</v>
      </c>
      <c r="G376" s="18">
        <f t="shared" si="267"/>
        <v>0</v>
      </c>
      <c r="H376" s="18">
        <f t="shared" si="267"/>
        <v>0</v>
      </c>
      <c r="I376" s="66">
        <f t="shared" si="267"/>
        <v>0</v>
      </c>
      <c r="J376" s="18"/>
      <c r="K376" s="18"/>
      <c r="L376" s="18"/>
      <c r="M376" s="18"/>
      <c r="N376" s="18"/>
    </row>
  </sheetData>
  <dataValidations count="1">
    <dataValidation type="whole" allowBlank="1" showInputMessage="1" showErrorMessage="1" sqref="D20">
      <formula1>0</formula1>
      <formula2>1</formula2>
    </dataValidation>
  </dataValidations>
  <pageMargins left="0.7" right="0.7" top="0.75" bottom="0.75" header="0.3" footer="0.3"/>
  <pageSetup scale="10" orientation="landscape" horizontalDpi="300" verticalDpi="300" r:id="rId1"/>
  <rowBreaks count="9" manualBreakCount="9">
    <brk id="21" max="14" man="1"/>
    <brk id="84" max="14" man="1"/>
    <brk id="120" max="14" man="1"/>
    <brk id="149" max="14" man="1"/>
    <brk id="189" max="14" man="1"/>
    <brk id="218" max="14" man="1"/>
    <brk id="263" max="14" man="1"/>
    <brk id="301" max="14" man="1"/>
    <brk id="351" max="14" man="1"/>
  </rowBreaks>
  <ignoredErrors>
    <ignoredError sqref="I314 F66:I66 K68:N68 J66:N66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Loans!$C$19:$C$21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AC136"/>
  <sheetViews>
    <sheetView showGridLines="0" zoomScaleNormal="100" workbookViewId="0">
      <selection activeCell="B2" sqref="B2"/>
    </sheetView>
  </sheetViews>
  <sheetFormatPr defaultColWidth="8.77734375" defaultRowHeight="14.4" outlineLevelRow="1" x14ac:dyDescent="0.3"/>
  <cols>
    <col min="1" max="2" width="2.77734375" style="4" customWidth="1"/>
    <col min="3" max="3" width="40.6640625" style="5" customWidth="1"/>
    <col min="4" max="14" width="11.5546875" style="5" customWidth="1"/>
    <col min="15" max="16" width="2.77734375" style="4" customWidth="1"/>
    <col min="17" max="16384" width="8.77734375" style="4"/>
  </cols>
  <sheetData>
    <row r="2" spans="2:15" x14ac:dyDescent="0.3">
      <c r="B2" s="39" t="str">
        <f>Company_Name&amp;" - Loan Portfolio Projections and Net Charge-Offs - "&amp;Scenario&amp;" Case"</f>
        <v>Shawbrook Group PLC - Loan Portfolio Projections and Net Charge-Offs - Base Case</v>
      </c>
    </row>
    <row r="3" spans="2:15" x14ac:dyDescent="0.3">
      <c r="B3" s="4" t="str">
        <f>+'Op-Model'!$B$3</f>
        <v>(GBP £ in Millions Except Per Share and Per Unit Data)</v>
      </c>
      <c r="J3" s="322"/>
      <c r="K3" s="322"/>
      <c r="L3" s="322"/>
      <c r="M3" s="322"/>
      <c r="N3" s="322"/>
    </row>
    <row r="5" spans="2:15" x14ac:dyDescent="0.3">
      <c r="B5" s="21"/>
      <c r="C5" s="103"/>
      <c r="D5" s="104"/>
      <c r="E5" s="20" t="s">
        <v>4</v>
      </c>
      <c r="F5" s="20"/>
      <c r="G5" s="20"/>
      <c r="H5" s="20"/>
      <c r="I5" s="20"/>
      <c r="J5" s="22" t="s">
        <v>5</v>
      </c>
      <c r="K5" s="20"/>
      <c r="L5" s="20"/>
      <c r="M5" s="20"/>
      <c r="N5" s="20"/>
    </row>
    <row r="6" spans="2:15" x14ac:dyDescent="0.3">
      <c r="B6" s="83" t="s">
        <v>87</v>
      </c>
      <c r="C6" s="83"/>
      <c r="D6" s="85" t="s">
        <v>75</v>
      </c>
      <c r="E6" s="89">
        <f>EOMONTH(F6,-12)</f>
        <v>40543</v>
      </c>
      <c r="F6" s="89">
        <f>EOMONTH(G6,-12)</f>
        <v>40908</v>
      </c>
      <c r="G6" s="89">
        <f>EOMONTH(H6,-12)</f>
        <v>41274</v>
      </c>
      <c r="H6" s="89">
        <f>EOMONTH(I6,-12)</f>
        <v>41639</v>
      </c>
      <c r="I6" s="90">
        <f>Hist_Year</f>
        <v>42004</v>
      </c>
      <c r="J6" s="89">
        <f>EOMONTH(I6,12)</f>
        <v>42369</v>
      </c>
      <c r="K6" s="89">
        <f>EOMONTH(J6,12)</f>
        <v>42735</v>
      </c>
      <c r="L6" s="89">
        <f>EOMONTH(K6,12)</f>
        <v>43100</v>
      </c>
      <c r="M6" s="89">
        <f>EOMONTH(L6,12)</f>
        <v>43465</v>
      </c>
      <c r="N6" s="89">
        <f>EOMONTH(M6,12)</f>
        <v>43830</v>
      </c>
    </row>
    <row r="7" spans="2:15" s="41" customFormat="1" outlineLevel="1" x14ac:dyDescent="0.3">
      <c r="B7" s="4"/>
      <c r="C7" s="106" t="s">
        <v>83</v>
      </c>
      <c r="D7" s="113"/>
      <c r="E7" s="114"/>
      <c r="F7" s="98"/>
      <c r="G7" s="98"/>
      <c r="H7" s="98"/>
      <c r="I7" s="99"/>
      <c r="J7" s="100"/>
      <c r="K7" s="100"/>
      <c r="L7" s="100"/>
      <c r="M7" s="100"/>
      <c r="N7" s="100"/>
      <c r="O7" s="4"/>
    </row>
    <row r="8" spans="2:15" outlineLevel="1" x14ac:dyDescent="0.3">
      <c r="C8" s="26" t="s">
        <v>76</v>
      </c>
      <c r="D8" s="80" t="s">
        <v>74</v>
      </c>
      <c r="E8" s="115">
        <v>23.4</v>
      </c>
      <c r="F8" s="116">
        <f>46+2</f>
        <v>48</v>
      </c>
      <c r="G8" s="116">
        <f>201+7</f>
        <v>208</v>
      </c>
      <c r="H8" s="115">
        <v>544.19999999999993</v>
      </c>
      <c r="I8" s="123">
        <v>970.3</v>
      </c>
      <c r="J8" s="117">
        <f>+J25*J40*Units</f>
        <v>1255.4183599999999</v>
      </c>
      <c r="K8" s="117">
        <f>+K25*K40*Units</f>
        <v>1613.1005016749996</v>
      </c>
      <c r="L8" s="117">
        <f>+L25*L40*Units</f>
        <v>1959.4345581029993</v>
      </c>
      <c r="M8" s="117">
        <f>+M25*M40*Units</f>
        <v>2299.8511552547698</v>
      </c>
      <c r="N8" s="117">
        <f>+N25*N40*Units</f>
        <v>2633.5925495100355</v>
      </c>
    </row>
    <row r="9" spans="2:15" outlineLevel="1" x14ac:dyDescent="0.3">
      <c r="C9" s="26" t="s">
        <v>77</v>
      </c>
      <c r="D9" s="80" t="s">
        <v>74</v>
      </c>
      <c r="E9" s="64">
        <v>0</v>
      </c>
      <c r="F9" s="64">
        <v>0</v>
      </c>
      <c r="G9" s="64">
        <v>348</v>
      </c>
      <c r="H9" s="64">
        <v>394.2</v>
      </c>
      <c r="I9" s="158">
        <v>520.00000000000011</v>
      </c>
      <c r="J9" s="118">
        <f>+J26*J45*Units</f>
        <v>591.84008399999993</v>
      </c>
      <c r="K9" s="118">
        <f>+K26*K45*Units</f>
        <v>655.35080210499984</v>
      </c>
      <c r="L9" s="118">
        <f>+L26*L45*Units</f>
        <v>720.02188546559989</v>
      </c>
      <c r="M9" s="118">
        <f>+M26*M45*Units</f>
        <v>788.9302299730499</v>
      </c>
      <c r="N9" s="118">
        <f>+N26*N45*Units</f>
        <v>836.89718795541137</v>
      </c>
    </row>
    <row r="10" spans="2:15" outlineLevel="1" x14ac:dyDescent="0.3">
      <c r="C10" s="26" t="s">
        <v>78</v>
      </c>
      <c r="D10" s="80" t="s">
        <v>74</v>
      </c>
      <c r="E10" s="64">
        <v>0</v>
      </c>
      <c r="F10" s="64">
        <v>0</v>
      </c>
      <c r="G10" s="64">
        <v>0</v>
      </c>
      <c r="H10" s="64">
        <v>0</v>
      </c>
      <c r="I10" s="158">
        <v>170.20000000000002</v>
      </c>
      <c r="J10" s="118">
        <f>+J27*J50*Units</f>
        <v>187.41602659999995</v>
      </c>
      <c r="K10" s="118">
        <f>+K27*K50*Units</f>
        <v>220.59494039999993</v>
      </c>
      <c r="L10" s="118">
        <f>+L27*L50*Units</f>
        <v>236.25718116839997</v>
      </c>
      <c r="M10" s="118">
        <f>+M27*M50*Units</f>
        <v>273.49581305732397</v>
      </c>
      <c r="N10" s="118">
        <f>+N27*N50*Units</f>
        <v>291.64598974203727</v>
      </c>
    </row>
    <row r="11" spans="2:15" outlineLevel="1" x14ac:dyDescent="0.3">
      <c r="C11" s="26" t="s">
        <v>79</v>
      </c>
      <c r="D11" s="80" t="s">
        <v>74</v>
      </c>
      <c r="E11" s="64">
        <v>0</v>
      </c>
      <c r="F11" s="64">
        <v>61</v>
      </c>
      <c r="G11" s="64">
        <v>163</v>
      </c>
      <c r="H11" s="64">
        <v>296.7</v>
      </c>
      <c r="I11" s="158">
        <v>402.90000000000003</v>
      </c>
      <c r="J11" s="118">
        <f>+J28*J55*Units</f>
        <v>304.88731599999994</v>
      </c>
      <c r="K11" s="118">
        <f>+K28*K55*Units</f>
        <v>367.65823399999994</v>
      </c>
      <c r="L11" s="118">
        <f>+L28*L55*Units</f>
        <v>646.8946627229999</v>
      </c>
      <c r="M11" s="118">
        <f>+M28*M55*Units</f>
        <v>745.89767197451988</v>
      </c>
      <c r="N11" s="118">
        <f>+N28*N55*Units</f>
        <v>907.12632260901228</v>
      </c>
    </row>
    <row r="12" spans="2:15" outlineLevel="1" x14ac:dyDescent="0.3">
      <c r="C12" s="26" t="s">
        <v>80</v>
      </c>
      <c r="D12" s="81" t="s">
        <v>74</v>
      </c>
      <c r="E12" s="64">
        <v>0</v>
      </c>
      <c r="F12" s="64">
        <v>2</v>
      </c>
      <c r="G12" s="64">
        <v>29</v>
      </c>
      <c r="H12" s="64">
        <v>117.19999999999999</v>
      </c>
      <c r="I12" s="158">
        <v>232.5</v>
      </c>
      <c r="J12" s="118">
        <f>+J29*J60*Units</f>
        <v>282.469131</v>
      </c>
      <c r="K12" s="118">
        <f>+K29*K60*Units</f>
        <v>328.13497384499993</v>
      </c>
      <c r="L12" s="118">
        <f>+L29*L60*Units</f>
        <v>412.5125385479999</v>
      </c>
      <c r="M12" s="118">
        <f>+M29*M60*Units</f>
        <v>462.83906825085586</v>
      </c>
      <c r="N12" s="118">
        <f>+N29*N60*Units</f>
        <v>515.013654126407</v>
      </c>
    </row>
    <row r="13" spans="2:15" outlineLevel="1" x14ac:dyDescent="0.3">
      <c r="C13" s="119" t="s">
        <v>81</v>
      </c>
      <c r="D13" s="82" t="s">
        <v>74</v>
      </c>
      <c r="E13" s="129">
        <f t="shared" ref="E13:I13" si="0">SUM(E8:E12)</f>
        <v>23.4</v>
      </c>
      <c r="F13" s="129">
        <f t="shared" si="0"/>
        <v>111</v>
      </c>
      <c r="G13" s="129">
        <f t="shared" si="0"/>
        <v>748</v>
      </c>
      <c r="H13" s="129">
        <f t="shared" si="0"/>
        <v>1352.3</v>
      </c>
      <c r="I13" s="129">
        <f t="shared" si="0"/>
        <v>2295.9</v>
      </c>
      <c r="J13" s="129">
        <f>SUM(J8:J12)</f>
        <v>2622.0309175999996</v>
      </c>
      <c r="K13" s="129">
        <f t="shared" ref="K13:N13" si="1">SUM(K8:K12)</f>
        <v>3184.839452024999</v>
      </c>
      <c r="L13" s="129">
        <f t="shared" si="1"/>
        <v>3975.1208260079993</v>
      </c>
      <c r="M13" s="129">
        <f t="shared" si="1"/>
        <v>4571.0139385105194</v>
      </c>
      <c r="N13" s="129">
        <f t="shared" si="1"/>
        <v>5184.2757039429034</v>
      </c>
    </row>
    <row r="14" spans="2:15" s="5" customFormat="1" outlineLevel="1" x14ac:dyDescent="0.3">
      <c r="B14" s="4"/>
      <c r="C14" s="87" t="s">
        <v>82</v>
      </c>
      <c r="D14" s="80" t="s">
        <v>84</v>
      </c>
      <c r="E14" s="121" t="str">
        <f t="shared" ref="E14:J14" si="2">IFERROR(+E13/D13-1,"N/A")</f>
        <v>N/A</v>
      </c>
      <c r="F14" s="88">
        <f t="shared" si="2"/>
        <v>3.7435897435897436</v>
      </c>
      <c r="G14" s="88">
        <f t="shared" si="2"/>
        <v>5.7387387387387383</v>
      </c>
      <c r="H14" s="88">
        <f t="shared" si="2"/>
        <v>0.80788770053475933</v>
      </c>
      <c r="I14" s="187">
        <f t="shared" si="2"/>
        <v>0.69777416253789859</v>
      </c>
      <c r="J14" s="88">
        <f t="shared" si="2"/>
        <v>0.14204926939326601</v>
      </c>
      <c r="K14" s="88">
        <f t="shared" ref="K14" si="3">IFERROR(+K13/J13-1,"N/A")</f>
        <v>0.21464603283173722</v>
      </c>
      <c r="L14" s="88">
        <f t="shared" ref="L14" si="4">IFERROR(+L13/K13-1,"N/A")</f>
        <v>0.24813852813852821</v>
      </c>
      <c r="M14" s="88">
        <f t="shared" ref="M14" si="5">IFERROR(+M13/L13-1,"N/A")</f>
        <v>0.14990566037735853</v>
      </c>
      <c r="N14" s="88">
        <f t="shared" ref="N14" si="6">IFERROR(+N13/M13-1,"N/A")</f>
        <v>0.13416317991631788</v>
      </c>
      <c r="O14" s="4"/>
    </row>
    <row r="15" spans="2:15" s="5" customFormat="1" outlineLevel="1" x14ac:dyDescent="0.3">
      <c r="B15" s="4"/>
      <c r="C15" s="101"/>
      <c r="D15" s="102"/>
      <c r="E15" s="122"/>
      <c r="F15" s="122"/>
      <c r="G15" s="122"/>
      <c r="H15" s="122"/>
      <c r="I15" s="122"/>
      <c r="J15" s="101"/>
      <c r="K15" s="101"/>
      <c r="L15" s="101"/>
      <c r="M15" s="101"/>
      <c r="N15" s="101"/>
      <c r="O15" s="4"/>
    </row>
    <row r="16" spans="2:15" outlineLevel="1" x14ac:dyDescent="0.3">
      <c r="C16" s="55" t="s">
        <v>88</v>
      </c>
      <c r="D16" s="80" t="s">
        <v>89</v>
      </c>
      <c r="E16" s="158">
        <v>1613.9739999999999</v>
      </c>
      <c r="F16" s="158">
        <v>1645.808</v>
      </c>
      <c r="G16" s="158">
        <v>1665.213</v>
      </c>
      <c r="H16" s="158">
        <v>1701.18</v>
      </c>
      <c r="I16" s="158">
        <v>1749.712</v>
      </c>
      <c r="J16" s="177">
        <f>+I16*(1+J22)</f>
        <v>1793.4547999999998</v>
      </c>
      <c r="K16" s="177">
        <f t="shared" ref="K16:N16" si="7">+J16*(1+K22)</f>
        <v>1838.2911699999995</v>
      </c>
      <c r="L16" s="177">
        <f t="shared" si="7"/>
        <v>1875.0569933999996</v>
      </c>
      <c r="M16" s="177">
        <f t="shared" si="7"/>
        <v>1912.5581332679997</v>
      </c>
      <c r="N16" s="177">
        <f t="shared" si="7"/>
        <v>1950.8092959333596</v>
      </c>
    </row>
    <row r="17" spans="3:14" outlineLevel="1" x14ac:dyDescent="0.3">
      <c r="C17" s="55"/>
      <c r="D17" s="80"/>
      <c r="E17" s="158"/>
      <c r="F17" s="158"/>
      <c r="G17" s="158"/>
      <c r="H17" s="158"/>
      <c r="I17" s="158"/>
      <c r="J17" s="177"/>
      <c r="K17" s="177"/>
      <c r="L17" s="177"/>
      <c r="M17" s="177"/>
      <c r="N17" s="177"/>
    </row>
    <row r="18" spans="3:14" outlineLevel="1" x14ac:dyDescent="0.3">
      <c r="C18" s="106" t="s">
        <v>368</v>
      </c>
      <c r="D18" s="113"/>
      <c r="E18" s="114"/>
      <c r="F18" s="98"/>
      <c r="G18" s="98"/>
      <c r="H18" s="98"/>
      <c r="I18" s="99"/>
      <c r="J18" s="100"/>
      <c r="K18" s="100"/>
      <c r="L18" s="100"/>
      <c r="M18" s="100"/>
      <c r="N18" s="100"/>
    </row>
    <row r="19" spans="3:14" outlineLevel="1" x14ac:dyDescent="0.3">
      <c r="C19" s="26" t="s">
        <v>69</v>
      </c>
      <c r="D19" s="80" t="s">
        <v>84</v>
      </c>
      <c r="E19" s="122"/>
      <c r="F19" s="15"/>
      <c r="G19" s="15"/>
      <c r="H19" s="15"/>
      <c r="I19" s="15"/>
      <c r="J19" s="56">
        <v>2.5000000000000001E-2</v>
      </c>
      <c r="K19" s="56">
        <v>2.5000000000000001E-2</v>
      </c>
      <c r="L19" s="56">
        <v>0.02</v>
      </c>
      <c r="M19" s="56">
        <v>0.02</v>
      </c>
      <c r="N19" s="56">
        <v>0.02</v>
      </c>
    </row>
    <row r="20" spans="3:14" outlineLevel="1" x14ac:dyDescent="0.3">
      <c r="C20" s="50" t="s">
        <v>70</v>
      </c>
      <c r="D20" s="80" t="s">
        <v>84</v>
      </c>
      <c r="E20" s="122"/>
      <c r="F20" s="15"/>
      <c r="G20" s="15"/>
      <c r="H20" s="15"/>
      <c r="I20" s="15"/>
      <c r="J20" s="56">
        <v>0.03</v>
      </c>
      <c r="K20" s="56">
        <v>3.5000000000000003E-2</v>
      </c>
      <c r="L20" s="56">
        <v>3.5000000000000003E-2</v>
      </c>
      <c r="M20" s="56">
        <v>0.03</v>
      </c>
      <c r="N20" s="56">
        <v>0.03</v>
      </c>
    </row>
    <row r="21" spans="3:14" outlineLevel="1" x14ac:dyDescent="0.3">
      <c r="C21" s="65" t="s">
        <v>68</v>
      </c>
      <c r="D21" s="81" t="s">
        <v>84</v>
      </c>
      <c r="E21" s="125"/>
      <c r="F21" s="93"/>
      <c r="G21" s="93"/>
      <c r="H21" s="93"/>
      <c r="I21" s="93"/>
      <c r="J21" s="49">
        <v>5.0000000000000001E-3</v>
      </c>
      <c r="K21" s="49">
        <v>-0.03</v>
      </c>
      <c r="L21" s="49">
        <v>-0.03</v>
      </c>
      <c r="M21" s="49">
        <v>0.01</v>
      </c>
      <c r="N21" s="49">
        <v>0.02</v>
      </c>
    </row>
    <row r="22" spans="3:14" outlineLevel="1" x14ac:dyDescent="0.3">
      <c r="C22" s="110" t="s">
        <v>92</v>
      </c>
      <c r="D22" s="80" t="s">
        <v>84</v>
      </c>
      <c r="E22" s="16">
        <f>+E16/1589.493-1</f>
        <v>1.5401766475221956E-2</v>
      </c>
      <c r="F22" s="16">
        <f>+F16/E16-1</f>
        <v>1.9723985640413E-2</v>
      </c>
      <c r="G22" s="16">
        <f>+G16/F16-1</f>
        <v>1.1790561231929786E-2</v>
      </c>
      <c r="H22" s="16">
        <f>+H16/G16-1</f>
        <v>2.1599038681538119E-2</v>
      </c>
      <c r="I22" s="16">
        <f>+I16/H16-1</f>
        <v>2.8528433205186943E-2</v>
      </c>
      <c r="J22" s="66">
        <f>INDEX(J19:J21,MATCH(Scenario,$C19:$C21,0))</f>
        <v>2.5000000000000001E-2</v>
      </c>
      <c r="K22" s="66">
        <f>INDEX(K19:K21,MATCH(Scenario,$C19:$C21,0))</f>
        <v>2.5000000000000001E-2</v>
      </c>
      <c r="L22" s="66">
        <f>INDEX(L19:L21,MATCH(Scenario,$C19:$C21,0))</f>
        <v>0.02</v>
      </c>
      <c r="M22" s="66">
        <f>INDEX(M19:M21,MATCH(Scenario,$C19:$C21,0))</f>
        <v>0.02</v>
      </c>
      <c r="N22" s="66">
        <f>INDEX(N19:N21,MATCH(Scenario,$C19:$C21,0))</f>
        <v>0.02</v>
      </c>
    </row>
    <row r="23" spans="3:14" outlineLevel="1" x14ac:dyDescent="0.3">
      <c r="C23" s="110"/>
      <c r="D23" s="126"/>
      <c r="E23" s="127"/>
      <c r="F23" s="16"/>
      <c r="G23" s="16"/>
      <c r="H23" s="16"/>
      <c r="I23" s="16"/>
      <c r="J23" s="66"/>
      <c r="K23" s="66"/>
      <c r="L23" s="66"/>
      <c r="M23" s="66"/>
      <c r="N23" s="66"/>
    </row>
    <row r="24" spans="3:14" outlineLevel="1" x14ac:dyDescent="0.3">
      <c r="C24" s="106" t="s">
        <v>91</v>
      </c>
      <c r="D24" s="113"/>
      <c r="E24" s="114"/>
      <c r="F24" s="98"/>
      <c r="G24" s="98"/>
      <c r="H24" s="98"/>
      <c r="I24" s="99"/>
      <c r="J24" s="100"/>
      <c r="K24" s="100"/>
      <c r="L24" s="100"/>
      <c r="M24" s="100"/>
      <c r="N24" s="100"/>
    </row>
    <row r="25" spans="3:14" outlineLevel="1" x14ac:dyDescent="0.3">
      <c r="C25" s="26" t="str">
        <f>+$C$8</f>
        <v>Commercial Mortgages:</v>
      </c>
      <c r="D25" s="80" t="s">
        <v>89</v>
      </c>
      <c r="E25" s="128">
        <f>230.1+152</f>
        <v>382.1</v>
      </c>
      <c r="F25" s="128">
        <f>214.4+159</f>
        <v>373.4</v>
      </c>
      <c r="G25" s="128">
        <f>197.9+165</f>
        <v>362.9</v>
      </c>
      <c r="H25" s="128">
        <f>179.8+174+1</f>
        <v>354.8</v>
      </c>
      <c r="I25" s="134">
        <f>165.2+188</f>
        <v>353.2</v>
      </c>
      <c r="J25" s="128">
        <f>+J33*J$16</f>
        <v>358.69095999999996</v>
      </c>
      <c r="K25" s="128">
        <f t="shared" ref="K25:N25" si="8">+K33*K$16</f>
        <v>358.46677814999993</v>
      </c>
      <c r="L25" s="128">
        <f t="shared" si="8"/>
        <v>356.2608287459999</v>
      </c>
      <c r="M25" s="128">
        <f t="shared" si="8"/>
        <v>353.82325465457996</v>
      </c>
      <c r="N25" s="128">
        <f t="shared" si="8"/>
        <v>351.14567326800471</v>
      </c>
    </row>
    <row r="26" spans="3:14" outlineLevel="1" x14ac:dyDescent="0.3">
      <c r="C26" s="26" t="str">
        <f>+$C$9</f>
        <v>Asset Finance:</v>
      </c>
      <c r="D26" s="80" t="s">
        <v>89</v>
      </c>
      <c r="E26" s="64">
        <v>39.630030159124651</v>
      </c>
      <c r="F26" s="64">
        <v>42.007831968672129</v>
      </c>
      <c r="G26" s="64">
        <v>44.528301886792455</v>
      </c>
      <c r="H26" s="64">
        <v>47.2</v>
      </c>
      <c r="I26" s="158">
        <v>51</v>
      </c>
      <c r="J26" s="128">
        <f t="shared" ref="J26:N26" si="9">+J34*J$16</f>
        <v>53.803643999999991</v>
      </c>
      <c r="K26" s="128">
        <f t="shared" si="9"/>
        <v>56.987026269999987</v>
      </c>
      <c r="L26" s="128">
        <f t="shared" si="9"/>
        <v>60.001823788799989</v>
      </c>
      <c r="M26" s="128">
        <f t="shared" si="9"/>
        <v>63.114418397843991</v>
      </c>
      <c r="N26" s="128">
        <f t="shared" si="9"/>
        <v>64.376706765800876</v>
      </c>
    </row>
    <row r="27" spans="3:14" outlineLevel="1" x14ac:dyDescent="0.3">
      <c r="C27" s="26" t="str">
        <f>+$C$10</f>
        <v>Business Credit:</v>
      </c>
      <c r="D27" s="80" t="s">
        <v>89</v>
      </c>
      <c r="E27" s="64">
        <v>14.516</v>
      </c>
      <c r="F27" s="64">
        <v>15.332000000000001</v>
      </c>
      <c r="G27" s="64">
        <v>16.100999999999999</v>
      </c>
      <c r="H27" s="64">
        <v>17.78</v>
      </c>
      <c r="I27" s="158">
        <v>19.43</v>
      </c>
      <c r="J27" s="128">
        <f t="shared" ref="J27:N27" si="10">+J35*J$16</f>
        <v>19.728002799999995</v>
      </c>
      <c r="K27" s="128">
        <f t="shared" si="10"/>
        <v>22.059494039999993</v>
      </c>
      <c r="L27" s="128">
        <f t="shared" si="10"/>
        <v>22.500683920799997</v>
      </c>
      <c r="M27" s="128">
        <f t="shared" si="10"/>
        <v>24.863255732483996</v>
      </c>
      <c r="N27" s="128">
        <f t="shared" si="10"/>
        <v>25.360520847133674</v>
      </c>
    </row>
    <row r="28" spans="3:14" outlineLevel="1" x14ac:dyDescent="0.3">
      <c r="C28" s="26" t="str">
        <f>+$C$11</f>
        <v>Secured Lending:</v>
      </c>
      <c r="D28" s="80" t="s">
        <v>89</v>
      </c>
      <c r="E28" s="64">
        <v>9.1999999999999993</v>
      </c>
      <c r="F28" s="64">
        <v>7.7</v>
      </c>
      <c r="G28" s="64">
        <v>7</v>
      </c>
      <c r="H28" s="64">
        <v>6</v>
      </c>
      <c r="I28" s="158">
        <v>5.5</v>
      </c>
      <c r="J28" s="128">
        <f t="shared" ref="J28:N28" si="11">+J36*J$16</f>
        <v>3.5869095999999994</v>
      </c>
      <c r="K28" s="128">
        <f t="shared" si="11"/>
        <v>3.6765823399999991</v>
      </c>
      <c r="L28" s="128">
        <f t="shared" si="11"/>
        <v>5.6251709801999992</v>
      </c>
      <c r="M28" s="128">
        <f t="shared" si="11"/>
        <v>5.737674399803999</v>
      </c>
      <c r="N28" s="128">
        <f t="shared" si="11"/>
        <v>5.8524278878000793</v>
      </c>
    </row>
    <row r="29" spans="3:14" outlineLevel="1" x14ac:dyDescent="0.3">
      <c r="C29" s="26" t="str">
        <f>+$C$12</f>
        <v>Consumer Lending:</v>
      </c>
      <c r="D29" s="81" t="s">
        <v>89</v>
      </c>
      <c r="E29" s="64">
        <v>22.649358932544775</v>
      </c>
      <c r="F29" s="64">
        <v>24.914294825799253</v>
      </c>
      <c r="G29" s="64">
        <v>27.654867256637171</v>
      </c>
      <c r="H29" s="64">
        <v>30.973451327433633</v>
      </c>
      <c r="I29" s="158">
        <v>35</v>
      </c>
      <c r="J29" s="128">
        <f t="shared" ref="J29:N29" si="12">+J37*J$16</f>
        <v>37.662550799999998</v>
      </c>
      <c r="K29" s="128">
        <f t="shared" si="12"/>
        <v>38.604114569999993</v>
      </c>
      <c r="L29" s="128">
        <f t="shared" si="12"/>
        <v>41.251253854799991</v>
      </c>
      <c r="M29" s="128">
        <f t="shared" si="12"/>
        <v>42.076278931895992</v>
      </c>
      <c r="N29" s="128">
        <f t="shared" si="12"/>
        <v>42.917804510533912</v>
      </c>
    </row>
    <row r="30" spans="3:14" outlineLevel="1" x14ac:dyDescent="0.3">
      <c r="C30" s="119" t="s">
        <v>90</v>
      </c>
      <c r="D30" s="80" t="s">
        <v>89</v>
      </c>
      <c r="E30" s="129">
        <f t="shared" ref="E30:I30" si="13">SUM(E25:E29)</f>
        <v>468.09538909166946</v>
      </c>
      <c r="F30" s="129">
        <f t="shared" si="13"/>
        <v>463.35412679447131</v>
      </c>
      <c r="G30" s="129">
        <f t="shared" si="13"/>
        <v>458.18416914342959</v>
      </c>
      <c r="H30" s="129">
        <f t="shared" si="13"/>
        <v>456.75345132743359</v>
      </c>
      <c r="I30" s="129">
        <f t="shared" si="13"/>
        <v>464.13</v>
      </c>
      <c r="J30" s="129">
        <f>SUM(J25:J29)</f>
        <v>473.47206720000003</v>
      </c>
      <c r="K30" s="129">
        <f t="shared" ref="K30:N30" si="14">SUM(K25:K29)</f>
        <v>479.79399536999989</v>
      </c>
      <c r="L30" s="129">
        <f t="shared" si="14"/>
        <v>485.63976129059984</v>
      </c>
      <c r="M30" s="129">
        <f t="shared" si="14"/>
        <v>489.61488211660799</v>
      </c>
      <c r="N30" s="129">
        <f t="shared" si="14"/>
        <v>489.65313327927328</v>
      </c>
    </row>
    <row r="31" spans="3:14" outlineLevel="1" x14ac:dyDescent="0.3">
      <c r="C31" s="110"/>
      <c r="D31" s="126"/>
      <c r="E31" s="127"/>
      <c r="F31" s="16"/>
      <c r="G31" s="16"/>
      <c r="H31" s="16"/>
      <c r="I31" s="71"/>
      <c r="J31" s="66"/>
      <c r="K31" s="66"/>
      <c r="L31" s="66"/>
      <c r="M31" s="66"/>
      <c r="N31" s="66"/>
    </row>
    <row r="32" spans="3:14" outlineLevel="1" x14ac:dyDescent="0.3">
      <c r="C32" s="106" t="s">
        <v>93</v>
      </c>
      <c r="D32" s="113"/>
      <c r="E32" s="114"/>
      <c r="F32" s="98"/>
      <c r="G32" s="98"/>
      <c r="H32" s="98"/>
      <c r="I32" s="99"/>
      <c r="J32" s="100"/>
      <c r="K32" s="100"/>
      <c r="L32" s="100"/>
      <c r="M32" s="100"/>
      <c r="N32" s="100"/>
    </row>
    <row r="33" spans="3:14" outlineLevel="1" x14ac:dyDescent="0.3">
      <c r="C33" s="26" t="str">
        <f>+$C$8</f>
        <v>Commercial Mortgages:</v>
      </c>
      <c r="D33" s="80" t="s">
        <v>84</v>
      </c>
      <c r="E33" s="15">
        <f t="shared" ref="E33:I37" si="15">+E25/E$16</f>
        <v>0.23674482984236428</v>
      </c>
      <c r="F33" s="15">
        <f t="shared" si="15"/>
        <v>0.22687944158735404</v>
      </c>
      <c r="G33" s="15">
        <f t="shared" si="15"/>
        <v>0.21793007861456762</v>
      </c>
      <c r="H33" s="15">
        <f t="shared" si="15"/>
        <v>0.20856111640155656</v>
      </c>
      <c r="I33" s="16">
        <f t="shared" si="15"/>
        <v>0.20186179211207331</v>
      </c>
      <c r="J33" s="97">
        <v>0.2</v>
      </c>
      <c r="K33" s="97">
        <v>0.19500000000000001</v>
      </c>
      <c r="L33" s="97">
        <v>0.19</v>
      </c>
      <c r="M33" s="97">
        <v>0.185</v>
      </c>
      <c r="N33" s="97">
        <v>0.18</v>
      </c>
    </row>
    <row r="34" spans="3:14" outlineLevel="1" x14ac:dyDescent="0.3">
      <c r="C34" s="26" t="str">
        <f>+$C$9</f>
        <v>Asset Finance:</v>
      </c>
      <c r="D34" s="80" t="s">
        <v>84</v>
      </c>
      <c r="E34" s="15">
        <f t="shared" si="15"/>
        <v>2.4554317578303401E-2</v>
      </c>
      <c r="F34" s="15">
        <f t="shared" si="15"/>
        <v>2.5524138884166398E-2</v>
      </c>
      <c r="G34" s="15">
        <f t="shared" si="15"/>
        <v>2.6740304025246294E-2</v>
      </c>
      <c r="H34" s="15">
        <f t="shared" si="15"/>
        <v>2.7745447277771899E-2</v>
      </c>
      <c r="I34" s="16">
        <f t="shared" si="15"/>
        <v>2.914765401391772E-2</v>
      </c>
      <c r="J34" s="56">
        <v>0.03</v>
      </c>
      <c r="K34" s="56">
        <v>3.1E-2</v>
      </c>
      <c r="L34" s="56">
        <v>3.2000000000000001E-2</v>
      </c>
      <c r="M34" s="56">
        <v>3.3000000000000002E-2</v>
      </c>
      <c r="N34" s="56">
        <v>3.3000000000000002E-2</v>
      </c>
    </row>
    <row r="35" spans="3:14" outlineLevel="1" x14ac:dyDescent="0.3">
      <c r="C35" s="26" t="str">
        <f>+$C$10</f>
        <v>Business Credit:</v>
      </c>
      <c r="D35" s="80" t="s">
        <v>84</v>
      </c>
      <c r="E35" s="15">
        <f t="shared" si="15"/>
        <v>8.9939490970734354E-3</v>
      </c>
      <c r="F35" s="15">
        <f t="shared" si="15"/>
        <v>9.3157889620174416E-3</v>
      </c>
      <c r="G35" s="15">
        <f t="shared" si="15"/>
        <v>9.6690333308711851E-3</v>
      </c>
      <c r="H35" s="15">
        <f t="shared" si="15"/>
        <v>1.0451568910991195E-2</v>
      </c>
      <c r="I35" s="16">
        <f t="shared" si="15"/>
        <v>1.1104684656674926E-2</v>
      </c>
      <c r="J35" s="56">
        <v>1.0999999999999999E-2</v>
      </c>
      <c r="K35" s="56">
        <v>1.2E-2</v>
      </c>
      <c r="L35" s="56">
        <v>1.2E-2</v>
      </c>
      <c r="M35" s="56">
        <v>1.2999999999999999E-2</v>
      </c>
      <c r="N35" s="56">
        <v>1.2999999999999999E-2</v>
      </c>
    </row>
    <row r="36" spans="3:14" outlineLevel="1" x14ac:dyDescent="0.3">
      <c r="C36" s="26" t="str">
        <f>+$C$11</f>
        <v>Secured Lending:</v>
      </c>
      <c r="D36" s="80" t="s">
        <v>84</v>
      </c>
      <c r="E36" s="15">
        <f t="shared" si="15"/>
        <v>5.7002157407740148E-3</v>
      </c>
      <c r="F36" s="15">
        <f t="shared" si="15"/>
        <v>4.6785530268415275E-3</v>
      </c>
      <c r="G36" s="15">
        <f t="shared" si="15"/>
        <v>4.203666437867108E-3</v>
      </c>
      <c r="H36" s="15">
        <f t="shared" si="15"/>
        <v>3.5269636370049025E-3</v>
      </c>
      <c r="I36" s="16">
        <f t="shared" si="15"/>
        <v>3.1433744524813228E-3</v>
      </c>
      <c r="J36" s="56">
        <v>2E-3</v>
      </c>
      <c r="K36" s="56">
        <v>2E-3</v>
      </c>
      <c r="L36" s="56">
        <v>3.0000000000000001E-3</v>
      </c>
      <c r="M36" s="56">
        <v>3.0000000000000001E-3</v>
      </c>
      <c r="N36" s="56">
        <v>3.0000000000000001E-3</v>
      </c>
    </row>
    <row r="37" spans="3:14" outlineLevel="1" x14ac:dyDescent="0.3">
      <c r="C37" s="26" t="str">
        <f>+$C$12</f>
        <v>Consumer Lending:</v>
      </c>
      <c r="D37" s="80" t="s">
        <v>84</v>
      </c>
      <c r="E37" s="15">
        <f t="shared" si="15"/>
        <v>1.4033286120188291E-2</v>
      </c>
      <c r="F37" s="15">
        <f t="shared" si="15"/>
        <v>1.5138032398553934E-2</v>
      </c>
      <c r="G37" s="15">
        <f t="shared" si="15"/>
        <v>1.6607405332913671E-2</v>
      </c>
      <c r="H37" s="15">
        <f t="shared" si="15"/>
        <v>1.8207039424066609E-2</v>
      </c>
      <c r="I37" s="16">
        <f t="shared" si="15"/>
        <v>2.000329197033569E-2</v>
      </c>
      <c r="J37" s="29">
        <v>2.1000000000000001E-2</v>
      </c>
      <c r="K37" s="29">
        <v>2.1000000000000001E-2</v>
      </c>
      <c r="L37" s="29">
        <v>2.1999999999999999E-2</v>
      </c>
      <c r="M37" s="29">
        <v>2.1999999999999999E-2</v>
      </c>
      <c r="N37" s="29">
        <v>2.1999999999999999E-2</v>
      </c>
    </row>
    <row r="38" spans="3:14" outlineLevel="1" x14ac:dyDescent="0.3">
      <c r="C38" s="110"/>
      <c r="D38" s="126"/>
      <c r="E38" s="127"/>
      <c r="F38" s="16"/>
      <c r="G38" s="16"/>
      <c r="H38" s="16"/>
      <c r="I38" s="71"/>
      <c r="J38" s="66"/>
      <c r="K38" s="66"/>
      <c r="L38" s="66"/>
      <c r="M38" s="66"/>
      <c r="N38" s="66"/>
    </row>
    <row r="39" spans="3:14" outlineLevel="1" x14ac:dyDescent="0.3">
      <c r="C39" s="106" t="str">
        <f>Company_Name&amp;" - Lending Market Share by Segment:"</f>
        <v>Shawbrook Group PLC - Lending Market Share by Segment:</v>
      </c>
      <c r="D39" s="113"/>
      <c r="E39" s="114"/>
      <c r="F39" s="98"/>
      <c r="G39" s="98"/>
      <c r="H39" s="98"/>
      <c r="I39" s="99"/>
      <c r="J39" s="100"/>
      <c r="K39" s="100"/>
      <c r="L39" s="100"/>
      <c r="M39" s="100"/>
      <c r="N39" s="100"/>
    </row>
    <row r="40" spans="3:14" outlineLevel="1" x14ac:dyDescent="0.3">
      <c r="C40" s="26" t="str">
        <f>+$C$8</f>
        <v>Commercial Mortgages:</v>
      </c>
      <c r="D40" s="80" t="s">
        <v>84</v>
      </c>
      <c r="E40" s="71">
        <f>+E8/(E25*Units)</f>
        <v>6.1240512954723893E-5</v>
      </c>
      <c r="F40" s="71">
        <f>+F8/(F25*Units)</f>
        <v>1.2854847348687734E-4</v>
      </c>
      <c r="G40" s="71">
        <f>+G8/(G25*Units)</f>
        <v>5.7316065031689167E-4</v>
      </c>
      <c r="H40" s="71">
        <f>+H8/(H25*Units)</f>
        <v>1.5338218714768881E-3</v>
      </c>
      <c r="I40" s="186">
        <f>+I8/(I25*Units)</f>
        <v>2.7471687429218572E-3</v>
      </c>
      <c r="J40" s="96">
        <f>INDEX(J41:J43,MATCH(Scenario,$C41:$C43,0))</f>
        <v>3.5000000000000001E-3</v>
      </c>
      <c r="K40" s="96">
        <f>INDEX(K41:K43,MATCH(Scenario,$C41:$C43,0))</f>
        <v>4.4999999999999997E-3</v>
      </c>
      <c r="L40" s="96">
        <f>INDEX(L41:L43,MATCH(Scenario,$C41:$C43,0))</f>
        <v>5.4999999999999997E-3</v>
      </c>
      <c r="M40" s="96">
        <f>INDEX(M41:M43,MATCH(Scenario,$C41:$C43,0))</f>
        <v>6.4999999999999997E-3</v>
      </c>
      <c r="N40" s="96">
        <f>INDEX(N41:N43,MATCH(Scenario,$C41:$C43,0))</f>
        <v>7.4999999999999997E-3</v>
      </c>
    </row>
    <row r="41" spans="3:14" outlineLevel="1" x14ac:dyDescent="0.3">
      <c r="C41" s="27" t="str">
        <f>+$C$19</f>
        <v>Base</v>
      </c>
      <c r="D41" s="80" t="s">
        <v>84</v>
      </c>
      <c r="E41" s="71"/>
      <c r="F41" s="71"/>
      <c r="G41" s="71"/>
      <c r="H41" s="71"/>
      <c r="I41" s="71"/>
      <c r="J41" s="94">
        <v>3.5000000000000001E-3</v>
      </c>
      <c r="K41" s="94">
        <v>4.4999999999999997E-3</v>
      </c>
      <c r="L41" s="94">
        <v>5.4999999999999997E-3</v>
      </c>
      <c r="M41" s="94">
        <v>6.4999999999999997E-3</v>
      </c>
      <c r="N41" s="94">
        <v>7.4999999999999997E-3</v>
      </c>
    </row>
    <row r="42" spans="3:14" outlineLevel="1" x14ac:dyDescent="0.3">
      <c r="C42" s="54" t="str">
        <f>+$C$20</f>
        <v>Upside</v>
      </c>
      <c r="D42" s="80" t="s">
        <v>84</v>
      </c>
      <c r="E42" s="71"/>
      <c r="F42" s="71"/>
      <c r="G42" s="71"/>
      <c r="H42" s="71"/>
      <c r="I42" s="71"/>
      <c r="J42" s="94">
        <v>4.0000000000000001E-3</v>
      </c>
      <c r="K42" s="94">
        <v>5.4999999999999997E-3</v>
      </c>
      <c r="L42" s="94">
        <v>7.0000000000000001E-3</v>
      </c>
      <c r="M42" s="94">
        <v>8.0000000000000002E-3</v>
      </c>
      <c r="N42" s="94">
        <v>9.4999999999999998E-3</v>
      </c>
    </row>
    <row r="43" spans="3:14" outlineLevel="1" x14ac:dyDescent="0.3">
      <c r="C43" s="54" t="str">
        <f>+$C$21</f>
        <v>Downside</v>
      </c>
      <c r="D43" s="80" t="s">
        <v>84</v>
      </c>
      <c r="E43" s="71"/>
      <c r="F43" s="71"/>
      <c r="G43" s="71"/>
      <c r="H43" s="71"/>
      <c r="I43" s="71"/>
      <c r="J43" s="70">
        <v>3.0000000000000001E-3</v>
      </c>
      <c r="K43" s="70">
        <v>3.5000000000000001E-3</v>
      </c>
      <c r="L43" s="70">
        <v>4.4999999999999997E-3</v>
      </c>
      <c r="M43" s="70">
        <v>5.4999999999999997E-3</v>
      </c>
      <c r="N43" s="70">
        <v>6.4999999999999997E-3</v>
      </c>
    </row>
    <row r="44" spans="3:14" outlineLevel="1" x14ac:dyDescent="0.3">
      <c r="C44" s="30"/>
      <c r="D44" s="80"/>
      <c r="E44" s="71"/>
      <c r="F44" s="71"/>
      <c r="G44" s="71"/>
      <c r="H44" s="71"/>
      <c r="I44" s="71"/>
      <c r="J44" s="95"/>
      <c r="K44" s="95"/>
      <c r="L44" s="95"/>
      <c r="M44" s="95"/>
      <c r="N44" s="95"/>
    </row>
    <row r="45" spans="3:14" outlineLevel="1" x14ac:dyDescent="0.3">
      <c r="C45" s="26" t="str">
        <f>+$C$9</f>
        <v>Asset Finance:</v>
      </c>
      <c r="D45" s="80" t="s">
        <v>84</v>
      </c>
      <c r="E45" s="71">
        <f>+E9/(E26*Units)</f>
        <v>0</v>
      </c>
      <c r="F45" s="71">
        <f>+F9/(F26*Units)</f>
        <v>0</v>
      </c>
      <c r="G45" s="71">
        <f>+G9/(G26*Units)</f>
        <v>7.815254237288136E-3</v>
      </c>
      <c r="H45" s="71">
        <f>+H9/(H26*Units)</f>
        <v>8.3516949152542368E-3</v>
      </c>
      <c r="I45" s="186">
        <f>+I9/(I26*Units)</f>
        <v>1.0196078431372551E-2</v>
      </c>
      <c r="J45" s="96">
        <f>INDEX(J46:J48,MATCH(Scenario,$C46:$C48,0))</f>
        <v>1.0999999999999999E-2</v>
      </c>
      <c r="K45" s="96">
        <f>INDEX(K46:K48,MATCH(Scenario,$C46:$C48,0))</f>
        <v>1.15E-2</v>
      </c>
      <c r="L45" s="96">
        <f>INDEX(L46:L48,MATCH(Scenario,$C46:$C48,0))</f>
        <v>1.2E-2</v>
      </c>
      <c r="M45" s="96">
        <f>INDEX(M46:M48,MATCH(Scenario,$C46:$C48,0))</f>
        <v>1.2500000000000001E-2</v>
      </c>
      <c r="N45" s="96">
        <f>INDEX(N46:N48,MATCH(Scenario,$C46:$C48,0))</f>
        <v>1.2999999999999999E-2</v>
      </c>
    </row>
    <row r="46" spans="3:14" outlineLevel="1" x14ac:dyDescent="0.3">
      <c r="C46" s="27" t="str">
        <f>+$C$19</f>
        <v>Base</v>
      </c>
      <c r="D46" s="80" t="s">
        <v>84</v>
      </c>
      <c r="E46" s="71"/>
      <c r="F46" s="71"/>
      <c r="G46" s="71"/>
      <c r="H46" s="71"/>
      <c r="I46" s="71"/>
      <c r="J46" s="94">
        <v>1.0999999999999999E-2</v>
      </c>
      <c r="K46" s="94">
        <v>1.15E-2</v>
      </c>
      <c r="L46" s="94">
        <v>1.2E-2</v>
      </c>
      <c r="M46" s="94">
        <v>1.2500000000000001E-2</v>
      </c>
      <c r="N46" s="94">
        <v>1.2999999999999999E-2</v>
      </c>
    </row>
    <row r="47" spans="3:14" outlineLevel="1" x14ac:dyDescent="0.3">
      <c r="C47" s="54" t="str">
        <f>+$C$20</f>
        <v>Upside</v>
      </c>
      <c r="D47" s="80" t="s">
        <v>84</v>
      </c>
      <c r="E47" s="71"/>
      <c r="F47" s="71"/>
      <c r="G47" s="71"/>
      <c r="H47" s="71"/>
      <c r="I47" s="71"/>
      <c r="J47" s="94">
        <v>1.15E-2</v>
      </c>
      <c r="K47" s="94">
        <v>1.2500000000000001E-2</v>
      </c>
      <c r="L47" s="94">
        <v>1.2999999999999999E-2</v>
      </c>
      <c r="M47" s="94">
        <v>1.35E-2</v>
      </c>
      <c r="N47" s="94">
        <v>1.4E-2</v>
      </c>
    </row>
    <row r="48" spans="3:14" outlineLevel="1" x14ac:dyDescent="0.3">
      <c r="C48" s="54" t="str">
        <f>+$C$21</f>
        <v>Downside</v>
      </c>
      <c r="D48" s="80" t="s">
        <v>84</v>
      </c>
      <c r="E48" s="71"/>
      <c r="F48" s="71"/>
      <c r="G48" s="71"/>
      <c r="H48" s="71"/>
      <c r="I48" s="71"/>
      <c r="J48" s="70">
        <v>1.0500000000000001E-2</v>
      </c>
      <c r="K48" s="70">
        <v>1.0999999999999999E-2</v>
      </c>
      <c r="L48" s="70">
        <v>1.15E-2</v>
      </c>
      <c r="M48" s="70">
        <v>1.2E-2</v>
      </c>
      <c r="N48" s="70">
        <v>1.2500000000000001E-2</v>
      </c>
    </row>
    <row r="49" spans="3:29" outlineLevel="1" x14ac:dyDescent="0.3">
      <c r="C49" s="30"/>
      <c r="D49" s="80"/>
      <c r="E49" s="71"/>
      <c r="F49" s="71"/>
      <c r="G49" s="71"/>
      <c r="H49" s="71"/>
      <c r="I49" s="71"/>
      <c r="J49" s="95"/>
      <c r="K49" s="95"/>
      <c r="L49" s="95"/>
      <c r="M49" s="95"/>
      <c r="N49" s="95"/>
    </row>
    <row r="50" spans="3:29" outlineLevel="1" x14ac:dyDescent="0.3">
      <c r="C50" s="26" t="str">
        <f>+$C$10</f>
        <v>Business Credit:</v>
      </c>
      <c r="D50" s="80" t="s">
        <v>84</v>
      </c>
      <c r="E50" s="71">
        <f>+E10/(E27*Units)</f>
        <v>0</v>
      </c>
      <c r="F50" s="71">
        <f>+F10/(F27*Units)</f>
        <v>0</v>
      </c>
      <c r="G50" s="71">
        <f>+G10/(G27*Units)</f>
        <v>0</v>
      </c>
      <c r="H50" s="71">
        <f>+H10/(H27*Units)</f>
        <v>0</v>
      </c>
      <c r="I50" s="186">
        <f>+I10/(I27*Units)</f>
        <v>8.7596500257334023E-3</v>
      </c>
      <c r="J50" s="96">
        <f>INDEX(J51:J53,MATCH(Scenario,$C51:$C53,0))</f>
        <v>9.4999999999999998E-3</v>
      </c>
      <c r="K50" s="96">
        <f>INDEX(K51:K53,MATCH(Scenario,$C51:$C53,0))</f>
        <v>0.01</v>
      </c>
      <c r="L50" s="96">
        <f>INDEX(L51:L53,MATCH(Scenario,$C51:$C53,0))</f>
        <v>1.0500000000000001E-2</v>
      </c>
      <c r="M50" s="96">
        <f>INDEX(M51:M53,MATCH(Scenario,$C51:$C53,0))</f>
        <v>1.0999999999999999E-2</v>
      </c>
      <c r="N50" s="96">
        <f>INDEX(N51:N53,MATCH(Scenario,$C51:$C53,0))</f>
        <v>1.15E-2</v>
      </c>
    </row>
    <row r="51" spans="3:29" outlineLevel="1" x14ac:dyDescent="0.3">
      <c r="C51" s="27" t="str">
        <f>+$C$19</f>
        <v>Base</v>
      </c>
      <c r="D51" s="80" t="s">
        <v>84</v>
      </c>
      <c r="E51" s="71"/>
      <c r="F51" s="71"/>
      <c r="G51" s="71"/>
      <c r="H51" s="71"/>
      <c r="I51" s="71"/>
      <c r="J51" s="94">
        <v>9.4999999999999998E-3</v>
      </c>
      <c r="K51" s="94">
        <v>0.01</v>
      </c>
      <c r="L51" s="94">
        <v>1.0500000000000001E-2</v>
      </c>
      <c r="M51" s="94">
        <v>1.0999999999999999E-2</v>
      </c>
      <c r="N51" s="94">
        <v>1.15E-2</v>
      </c>
    </row>
    <row r="52" spans="3:29" outlineLevel="1" x14ac:dyDescent="0.3">
      <c r="C52" s="54" t="str">
        <f>+$C$20</f>
        <v>Upside</v>
      </c>
      <c r="D52" s="80" t="s">
        <v>84</v>
      </c>
      <c r="E52" s="71"/>
      <c r="F52" s="71"/>
      <c r="G52" s="71"/>
      <c r="H52" s="71"/>
      <c r="I52" s="71"/>
      <c r="J52" s="94">
        <v>0.01</v>
      </c>
      <c r="K52" s="94">
        <v>1.0999999999999999E-2</v>
      </c>
      <c r="L52" s="94">
        <v>1.15E-2</v>
      </c>
      <c r="M52" s="94">
        <v>1.2E-2</v>
      </c>
      <c r="N52" s="94">
        <v>1.2500000000000001E-2</v>
      </c>
    </row>
    <row r="53" spans="3:29" outlineLevel="1" x14ac:dyDescent="0.3">
      <c r="C53" s="54" t="str">
        <f>+$C$21</f>
        <v>Downside</v>
      </c>
      <c r="D53" s="80" t="s">
        <v>84</v>
      </c>
      <c r="E53" s="71"/>
      <c r="F53" s="71"/>
      <c r="G53" s="71"/>
      <c r="H53" s="71"/>
      <c r="I53" s="71"/>
      <c r="J53" s="70">
        <v>8.9999999999999993E-3</v>
      </c>
      <c r="K53" s="70">
        <v>8.9999999999999993E-3</v>
      </c>
      <c r="L53" s="70">
        <v>9.4999999999999998E-3</v>
      </c>
      <c r="M53" s="70">
        <v>0.01</v>
      </c>
      <c r="N53" s="70">
        <v>1.0500000000000001E-2</v>
      </c>
    </row>
    <row r="54" spans="3:29" outlineLevel="1" x14ac:dyDescent="0.3">
      <c r="C54" s="30"/>
      <c r="D54" s="80"/>
      <c r="E54" s="71"/>
      <c r="F54" s="71"/>
      <c r="G54" s="71"/>
      <c r="H54" s="71"/>
      <c r="I54" s="71"/>
      <c r="J54" s="95"/>
      <c r="K54" s="95"/>
      <c r="L54" s="95"/>
      <c r="M54" s="95"/>
      <c r="N54" s="95"/>
    </row>
    <row r="55" spans="3:29" outlineLevel="1" x14ac:dyDescent="0.3">
      <c r="C55" s="26" t="str">
        <f>+$C$11</f>
        <v>Secured Lending:</v>
      </c>
      <c r="D55" s="80" t="s">
        <v>84</v>
      </c>
      <c r="E55" s="71">
        <f>+E11/(E28*Units)</f>
        <v>0</v>
      </c>
      <c r="F55" s="71">
        <f>+F11/(F28*Units)</f>
        <v>7.9220779220779223E-3</v>
      </c>
      <c r="G55" s="71">
        <f>+G11/(G28*Units)</f>
        <v>2.3285714285714285E-2</v>
      </c>
      <c r="H55" s="71">
        <f>+H11/(H28*Units)</f>
        <v>4.9450000000000001E-2</v>
      </c>
      <c r="I55" s="186">
        <f>+I11/(I28*Units)</f>
        <v>7.3254545454545461E-2</v>
      </c>
      <c r="J55" s="96">
        <f>INDEX(J56:J58,MATCH(Scenario,$C56:$C58,0))</f>
        <v>8.5000000000000006E-2</v>
      </c>
      <c r="K55" s="96">
        <f>INDEX(K56:K58,MATCH(Scenario,$C56:$C58,0))</f>
        <v>0.1</v>
      </c>
      <c r="L55" s="96">
        <f>INDEX(L56:L58,MATCH(Scenario,$C56:$C58,0))</f>
        <v>0.115</v>
      </c>
      <c r="M55" s="96">
        <f>INDEX(M56:M58,MATCH(Scenario,$C56:$C58,0))</f>
        <v>0.13</v>
      </c>
      <c r="N55" s="96">
        <f>INDEX(N56:N58,MATCH(Scenario,$C56:$C58,0))</f>
        <v>0.155</v>
      </c>
    </row>
    <row r="56" spans="3:29" outlineLevel="1" x14ac:dyDescent="0.3">
      <c r="C56" s="27" t="str">
        <f>+$C$19</f>
        <v>Base</v>
      </c>
      <c r="D56" s="80" t="s">
        <v>84</v>
      </c>
      <c r="E56" s="71"/>
      <c r="F56" s="71"/>
      <c r="G56" s="71"/>
      <c r="H56" s="71"/>
      <c r="I56" s="71"/>
      <c r="J56" s="94">
        <v>8.5000000000000006E-2</v>
      </c>
      <c r="K56" s="94">
        <v>0.1</v>
      </c>
      <c r="L56" s="94">
        <v>0.115</v>
      </c>
      <c r="M56" s="94">
        <v>0.13</v>
      </c>
      <c r="N56" s="94">
        <v>0.155</v>
      </c>
    </row>
    <row r="57" spans="3:29" outlineLevel="1" x14ac:dyDescent="0.3">
      <c r="C57" s="54" t="str">
        <f>+$C$20</f>
        <v>Upside</v>
      </c>
      <c r="D57" s="80" t="s">
        <v>84</v>
      </c>
      <c r="E57" s="71"/>
      <c r="F57" s="71"/>
      <c r="G57" s="71"/>
      <c r="H57" s="71"/>
      <c r="I57" s="71"/>
      <c r="J57" s="94">
        <v>9.5000000000000001E-2</v>
      </c>
      <c r="K57" s="94">
        <v>0.11</v>
      </c>
      <c r="L57" s="94">
        <v>0.125</v>
      </c>
      <c r="M57" s="94">
        <v>0.14499999999999999</v>
      </c>
      <c r="N57" s="94">
        <v>0.17</v>
      </c>
    </row>
    <row r="58" spans="3:29" outlineLevel="1" x14ac:dyDescent="0.3">
      <c r="C58" s="54" t="str">
        <f>+$C$21</f>
        <v>Downside</v>
      </c>
      <c r="D58" s="80" t="s">
        <v>84</v>
      </c>
      <c r="E58" s="71"/>
      <c r="F58" s="71"/>
      <c r="G58" s="71"/>
      <c r="H58" s="71"/>
      <c r="I58" s="71"/>
      <c r="J58" s="70">
        <v>7.4999999999999997E-2</v>
      </c>
      <c r="K58" s="70">
        <v>8.5000000000000006E-2</v>
      </c>
      <c r="L58" s="70">
        <v>0.1</v>
      </c>
      <c r="M58" s="70">
        <v>0.115</v>
      </c>
      <c r="N58" s="70">
        <v>0.13500000000000001</v>
      </c>
    </row>
    <row r="59" spans="3:29" outlineLevel="1" x14ac:dyDescent="0.3">
      <c r="C59" s="30"/>
      <c r="D59" s="80"/>
      <c r="E59" s="71"/>
      <c r="F59" s="71"/>
      <c r="G59" s="71"/>
      <c r="H59" s="71"/>
      <c r="I59" s="71"/>
      <c r="J59" s="95"/>
      <c r="K59" s="95"/>
      <c r="L59" s="95"/>
      <c r="M59" s="95"/>
      <c r="N59" s="95"/>
    </row>
    <row r="60" spans="3:29" outlineLevel="1" x14ac:dyDescent="0.3">
      <c r="C60" s="26" t="str">
        <f>+$C$12</f>
        <v>Consumer Lending:</v>
      </c>
      <c r="D60" s="80" t="s">
        <v>84</v>
      </c>
      <c r="E60" s="71">
        <f>+E12/(E29*Units)</f>
        <v>0</v>
      </c>
      <c r="F60" s="71">
        <f>+F12/(F29*Units)</f>
        <v>8.0275199999999987E-5</v>
      </c>
      <c r="G60" s="71">
        <f>+G12/(G29*Units)</f>
        <v>1.0486399999999998E-3</v>
      </c>
      <c r="H60" s="71">
        <f>+H12/(H29*Units)</f>
        <v>3.7838857142857133E-3</v>
      </c>
      <c r="I60" s="186">
        <f>+I12/(I29*Units)</f>
        <v>6.6428571428571431E-3</v>
      </c>
      <c r="J60" s="96">
        <f>INDEX(J61:J63,MATCH(Scenario,$C61:$C63,0))</f>
        <v>7.4999999999999997E-3</v>
      </c>
      <c r="K60" s="96">
        <f>INDEX(K61:K63,MATCH(Scenario,$C61:$C63,0))</f>
        <v>8.5000000000000006E-3</v>
      </c>
      <c r="L60" s="96">
        <f>INDEX(L61:L63,MATCH(Scenario,$C61:$C63,0))</f>
        <v>0.01</v>
      </c>
      <c r="M60" s="96">
        <f>INDEX(M61:M63,MATCH(Scenario,$C61:$C63,0))</f>
        <v>1.0999999999999999E-2</v>
      </c>
      <c r="N60" s="96">
        <f>INDEX(N61:N63,MATCH(Scenario,$C61:$C63,0))</f>
        <v>1.2E-2</v>
      </c>
    </row>
    <row r="61" spans="3:29" outlineLevel="1" x14ac:dyDescent="0.3">
      <c r="C61" s="27" t="str">
        <f>+$C$19</f>
        <v>Base</v>
      </c>
      <c r="D61" s="80" t="s">
        <v>84</v>
      </c>
      <c r="E61" s="127"/>
      <c r="F61" s="16"/>
      <c r="G61" s="16"/>
      <c r="H61" s="16"/>
      <c r="I61" s="71"/>
      <c r="J61" s="94">
        <v>7.4999999999999997E-3</v>
      </c>
      <c r="K61" s="94">
        <v>8.5000000000000006E-3</v>
      </c>
      <c r="L61" s="94">
        <v>0.01</v>
      </c>
      <c r="M61" s="94">
        <v>1.0999999999999999E-2</v>
      </c>
      <c r="N61" s="94">
        <v>1.2E-2</v>
      </c>
    </row>
    <row r="62" spans="3:29" outlineLevel="1" x14ac:dyDescent="0.3">
      <c r="C62" s="54" t="str">
        <f>+$C$20</f>
        <v>Upside</v>
      </c>
      <c r="D62" s="80" t="s">
        <v>84</v>
      </c>
      <c r="E62" s="127"/>
      <c r="F62" s="16"/>
      <c r="G62" s="16"/>
      <c r="H62" s="16"/>
      <c r="I62" s="71"/>
      <c r="J62" s="94">
        <v>8.5000000000000006E-3</v>
      </c>
      <c r="K62" s="94">
        <v>9.4999999999999998E-3</v>
      </c>
      <c r="L62" s="94">
        <v>1.15E-2</v>
      </c>
      <c r="M62" s="94">
        <v>1.2500000000000001E-2</v>
      </c>
      <c r="N62" s="94">
        <v>1.35E-2</v>
      </c>
    </row>
    <row r="63" spans="3:29" outlineLevel="1" x14ac:dyDescent="0.3">
      <c r="C63" s="54" t="str">
        <f>+$C$21</f>
        <v>Downside</v>
      </c>
      <c r="D63" s="80" t="s">
        <v>84</v>
      </c>
      <c r="E63" s="127"/>
      <c r="F63" s="16"/>
      <c r="G63" s="16"/>
      <c r="H63" s="16"/>
      <c r="I63" s="71"/>
      <c r="J63" s="70">
        <v>6.4999999999999997E-3</v>
      </c>
      <c r="K63" s="70">
        <v>7.4999999999999997E-3</v>
      </c>
      <c r="L63" s="70">
        <v>8.9999999999999993E-3</v>
      </c>
      <c r="M63" s="70">
        <v>0.01</v>
      </c>
      <c r="N63" s="70">
        <v>1.0999999999999999E-2</v>
      </c>
    </row>
    <row r="64" spans="3:29" outlineLevel="1" x14ac:dyDescent="0.3">
      <c r="C64" s="110"/>
      <c r="D64" s="126"/>
      <c r="E64" s="127"/>
      <c r="F64" s="16"/>
      <c r="G64" s="16"/>
      <c r="H64" s="16"/>
      <c r="I64" s="71"/>
      <c r="J64" s="66"/>
      <c r="K64" s="66"/>
      <c r="L64" s="66"/>
      <c r="M64" s="66"/>
      <c r="N64" s="66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2:29" x14ac:dyDescent="0.3">
      <c r="B65" s="21"/>
      <c r="C65" s="103"/>
      <c r="D65" s="104"/>
      <c r="E65" s="20" t="s">
        <v>13</v>
      </c>
      <c r="F65" s="20"/>
      <c r="G65" s="20"/>
      <c r="H65" s="20"/>
      <c r="I65" s="20"/>
      <c r="J65" s="22" t="s">
        <v>14</v>
      </c>
      <c r="K65" s="20"/>
      <c r="L65" s="20"/>
      <c r="M65" s="20"/>
      <c r="N65" s="20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2:29" x14ac:dyDescent="0.3">
      <c r="B66" s="83" t="s">
        <v>101</v>
      </c>
      <c r="C66" s="83"/>
      <c r="D66" s="85" t="str">
        <f>+$D$6</f>
        <v>Units:</v>
      </c>
      <c r="E66" s="89">
        <f>Loans!$E$6</f>
        <v>40543</v>
      </c>
      <c r="F66" s="89">
        <f>Loans!$F$6</f>
        <v>40908</v>
      </c>
      <c r="G66" s="89">
        <f>Loans!$G$6</f>
        <v>41274</v>
      </c>
      <c r="H66" s="89">
        <f>Loans!$H$6</f>
        <v>41639</v>
      </c>
      <c r="I66" s="90">
        <f>Loans!$I$6</f>
        <v>42004</v>
      </c>
      <c r="J66" s="89">
        <f>Loans!$J$6</f>
        <v>42369</v>
      </c>
      <c r="K66" s="89">
        <f>Loans!$K$6</f>
        <v>42735</v>
      </c>
      <c r="L66" s="89">
        <f>Loans!$L$6</f>
        <v>43100</v>
      </c>
      <c r="M66" s="89">
        <f>Loans!$M$6</f>
        <v>43465</v>
      </c>
      <c r="N66" s="89">
        <f>Loans!$N$6</f>
        <v>43830</v>
      </c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2:29" outlineLevel="1" x14ac:dyDescent="0.3">
      <c r="C67" s="106" t="s">
        <v>94</v>
      </c>
      <c r="D67" s="166"/>
      <c r="E67" s="171"/>
      <c r="F67" s="171"/>
      <c r="G67" s="171"/>
      <c r="H67" s="171"/>
      <c r="I67" s="171"/>
      <c r="J67" s="107"/>
      <c r="K67" s="107"/>
      <c r="L67" s="107"/>
      <c r="M67" s="107"/>
      <c r="N67" s="107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41"/>
      <c r="AB67" s="41"/>
      <c r="AC67" s="41"/>
    </row>
    <row r="68" spans="2:29" outlineLevel="1" x14ac:dyDescent="0.3">
      <c r="C68" s="26" t="str">
        <f>+$C$8</f>
        <v>Commercial Mortgages:</v>
      </c>
      <c r="D68" s="82" t="s">
        <v>74</v>
      </c>
      <c r="E68" s="115"/>
      <c r="F68" s="115"/>
      <c r="G68" s="115">
        <v>0.3</v>
      </c>
      <c r="H68" s="115">
        <v>0.3</v>
      </c>
      <c r="I68" s="123">
        <v>1</v>
      </c>
      <c r="J68" s="117">
        <f>+J88*AVERAGE(I8,J8)</f>
        <v>1.6692887699999999</v>
      </c>
      <c r="K68" s="117">
        <f t="shared" ref="K68:N68" si="16">+K88*AVERAGE(J8,K8)</f>
        <v>2.2948150893399997</v>
      </c>
      <c r="L68" s="117">
        <f t="shared" si="16"/>
        <v>3.036654800811299</v>
      </c>
      <c r="M68" s="117">
        <f t="shared" si="16"/>
        <v>3.8333571420219918</v>
      </c>
      <c r="N68" s="117">
        <f t="shared" si="16"/>
        <v>4.6867715195265651</v>
      </c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2:29" outlineLevel="1" x14ac:dyDescent="0.3">
      <c r="C69" s="26" t="str">
        <f>+$C$9</f>
        <v>Asset Finance:</v>
      </c>
      <c r="D69" s="80" t="s">
        <v>74</v>
      </c>
      <c r="E69" s="64"/>
      <c r="F69" s="130"/>
      <c r="G69" s="64">
        <v>1.5</v>
      </c>
      <c r="H69" s="64">
        <v>1.1000000000000001</v>
      </c>
      <c r="I69" s="158">
        <v>1.5</v>
      </c>
      <c r="J69" s="131">
        <f>+J93*AVERAGE(I9,J9)</f>
        <v>1.9457201469999998</v>
      </c>
      <c r="K69" s="131">
        <f t="shared" ref="K69:N69" si="17">+K93*AVERAGE(J9,K9)</f>
        <v>2.2449435949889995</v>
      </c>
      <c r="L69" s="131">
        <f t="shared" si="17"/>
        <v>2.5444394720056098</v>
      </c>
      <c r="M69" s="131">
        <f t="shared" si="17"/>
        <v>2.8670090193334348</v>
      </c>
      <c r="N69" s="131">
        <f t="shared" si="17"/>
        <v>3.1703634649604995</v>
      </c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2:29" outlineLevel="1" x14ac:dyDescent="0.3">
      <c r="C70" s="26" t="str">
        <f>+$C$10</f>
        <v>Business Credit:</v>
      </c>
      <c r="D70" s="80" t="s">
        <v>74</v>
      </c>
      <c r="E70" s="64"/>
      <c r="F70" s="130"/>
      <c r="G70" s="64">
        <v>0</v>
      </c>
      <c r="H70" s="64">
        <v>0</v>
      </c>
      <c r="I70" s="158">
        <v>0.3</v>
      </c>
      <c r="J70" s="131">
        <f>+J98*AVERAGE(I10,J10)</f>
        <v>0.64370884787999982</v>
      </c>
      <c r="K70" s="118">
        <f t="shared" ref="K70:N70" si="18">+K98*AVERAGE(J10,K10)</f>
        <v>0.75482028894999986</v>
      </c>
      <c r="L70" s="118">
        <f t="shared" si="18"/>
        <v>0.86801903097995969</v>
      </c>
      <c r="M70" s="118">
        <f t="shared" si="18"/>
        <v>0.99401833874016154</v>
      </c>
      <c r="N70" s="118">
        <f t="shared" si="18"/>
        <v>1.1302836055987224</v>
      </c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2:29" outlineLevel="1" x14ac:dyDescent="0.3">
      <c r="C71" s="26" t="str">
        <f>+$C$11</f>
        <v>Secured Lending:</v>
      </c>
      <c r="D71" s="80" t="s">
        <v>74</v>
      </c>
      <c r="E71" s="64"/>
      <c r="F71" s="130"/>
      <c r="G71" s="64">
        <v>0.7</v>
      </c>
      <c r="H71" s="64">
        <v>0.8</v>
      </c>
      <c r="I71" s="158">
        <v>-0.1</v>
      </c>
      <c r="J71" s="118">
        <f>+J103*AVERAGE(I11,J11)</f>
        <v>1.2740171687999997</v>
      </c>
      <c r="K71" s="118">
        <f t="shared" ref="K71:N71" si="19">+K103*AVERAGE(J11,K11)</f>
        <v>1.2442092674999998</v>
      </c>
      <c r="L71" s="118">
        <f t="shared" si="19"/>
        <v>1.9276505037736995</v>
      </c>
      <c r="M71" s="118">
        <f t="shared" si="19"/>
        <v>2.7159450526601638</v>
      </c>
      <c r="N71" s="118">
        <f t="shared" si="19"/>
        <v>3.3060479891670642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29" outlineLevel="1" x14ac:dyDescent="0.3">
      <c r="C72" s="26" t="str">
        <f>+$C$12</f>
        <v>Consumer Lending:</v>
      </c>
      <c r="D72" s="80" t="s">
        <v>74</v>
      </c>
      <c r="E72" s="64"/>
      <c r="F72" s="130"/>
      <c r="G72" s="64">
        <v>0.2</v>
      </c>
      <c r="H72" s="64">
        <v>1.3</v>
      </c>
      <c r="I72" s="158">
        <v>4</v>
      </c>
      <c r="J72" s="118">
        <f>+J108*AVERAGE(I12,J12)</f>
        <v>5.922145006500001</v>
      </c>
      <c r="K72" s="118">
        <f t="shared" ref="K72:N72" si="20">+K108*AVERAGE(J12,K12)</f>
        <v>7.1745982319287496</v>
      </c>
      <c r="L72" s="118">
        <f t="shared" si="20"/>
        <v>8.8877701487159975</v>
      </c>
      <c r="M72" s="118">
        <f t="shared" si="20"/>
        <v>10.723057183285983</v>
      </c>
      <c r="N72" s="118">
        <f t="shared" si="20"/>
        <v>12.223159029715786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29" outlineLevel="1" x14ac:dyDescent="0.3">
      <c r="C73" s="168" t="s">
        <v>95</v>
      </c>
      <c r="D73" s="82" t="s">
        <v>74</v>
      </c>
      <c r="E73" s="169">
        <v>0.4</v>
      </c>
      <c r="F73" s="170">
        <v>0.2</v>
      </c>
      <c r="G73" s="165">
        <f t="shared" ref="G73:I73" si="21">SUM(G68:G72)</f>
        <v>2.7</v>
      </c>
      <c r="H73" s="165">
        <f t="shared" si="21"/>
        <v>3.5</v>
      </c>
      <c r="I73" s="165">
        <f t="shared" si="21"/>
        <v>6.6999999999999993</v>
      </c>
      <c r="J73" s="165">
        <f>SUM(J68:J72)</f>
        <v>11.45487994018</v>
      </c>
      <c r="K73" s="165">
        <f t="shared" ref="K73:N73" si="22">SUM(K68:K72)</f>
        <v>13.713386472707748</v>
      </c>
      <c r="L73" s="165">
        <f t="shared" si="22"/>
        <v>17.264533956286563</v>
      </c>
      <c r="M73" s="165">
        <f t="shared" si="22"/>
        <v>21.133386736041736</v>
      </c>
      <c r="N73" s="165">
        <f t="shared" si="22"/>
        <v>24.516625608968639</v>
      </c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2:29" outlineLevel="1" x14ac:dyDescent="0.3">
      <c r="C74" s="108"/>
      <c r="D74" s="102"/>
      <c r="E74" s="154"/>
      <c r="F74" s="130"/>
      <c r="G74" s="137"/>
      <c r="H74" s="137"/>
      <c r="I74" s="137"/>
      <c r="J74" s="137"/>
      <c r="K74" s="137"/>
      <c r="L74" s="137"/>
      <c r="M74" s="137"/>
      <c r="N74" s="137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2:29" outlineLevel="1" x14ac:dyDescent="0.3">
      <c r="C75" s="106" t="s">
        <v>16</v>
      </c>
      <c r="D75" s="166"/>
      <c r="E75" s="171"/>
      <c r="F75" s="171"/>
      <c r="G75" s="171"/>
      <c r="H75" s="171"/>
      <c r="I75" s="171"/>
      <c r="J75" s="107"/>
      <c r="K75" s="107"/>
      <c r="L75" s="107"/>
      <c r="M75" s="107"/>
      <c r="N75" s="107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2:29" outlineLevel="1" x14ac:dyDescent="0.3">
      <c r="C76" s="55" t="s">
        <v>96</v>
      </c>
      <c r="D76" s="80" t="s">
        <v>74</v>
      </c>
      <c r="E76" s="158">
        <v>1.4</v>
      </c>
      <c r="F76" s="158">
        <v>0</v>
      </c>
      <c r="G76" s="172">
        <f t="shared" ref="G76:I76" si="23">+F80</f>
        <v>0.30000000000000004</v>
      </c>
      <c r="H76" s="134">
        <f t="shared" si="23"/>
        <v>2.8000000000000003</v>
      </c>
      <c r="I76" s="172">
        <f t="shared" si="23"/>
        <v>5.4</v>
      </c>
      <c r="J76" s="172">
        <f>+I80</f>
        <v>11.1</v>
      </c>
      <c r="K76" s="172">
        <f t="shared" ref="K76:N76" si="24">+J80</f>
        <v>19.850017935499999</v>
      </c>
      <c r="L76" s="172">
        <f t="shared" si="24"/>
        <v>30.369625704914</v>
      </c>
      <c r="M76" s="172">
        <f t="shared" si="24"/>
        <v>43.338183494380765</v>
      </c>
      <c r="N76" s="172">
        <f t="shared" si="24"/>
        <v>59.343889371711391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2:29" outlineLevel="1" x14ac:dyDescent="0.3">
      <c r="C77" s="50" t="s">
        <v>102</v>
      </c>
      <c r="D77" s="80" t="s">
        <v>74</v>
      </c>
      <c r="E77" s="64">
        <v>-0.3</v>
      </c>
      <c r="F77" s="64">
        <v>0</v>
      </c>
      <c r="G77" s="64">
        <v>-0.2</v>
      </c>
      <c r="H77" s="64">
        <v>-0.9</v>
      </c>
      <c r="I77" s="158">
        <v>-1</v>
      </c>
      <c r="J77" s="128">
        <f>-J82*AVERAGE(I13,J13)</f>
        <v>-2.7048620046799998</v>
      </c>
      <c r="K77" s="128">
        <f t="shared" ref="K77:N77" si="25">-K82*AVERAGE(J13,K13)</f>
        <v>-3.1937787032937495</v>
      </c>
      <c r="L77" s="128">
        <f t="shared" si="25"/>
        <v>-4.2959761668197984</v>
      </c>
      <c r="M77" s="128">
        <f t="shared" si="25"/>
        <v>-5.1276808587111118</v>
      </c>
      <c r="N77" s="128">
        <f t="shared" si="25"/>
        <v>-6.3409382675947246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2:29" outlineLevel="1" x14ac:dyDescent="0.3">
      <c r="C78" s="50" t="s">
        <v>103</v>
      </c>
      <c r="D78" s="80" t="s">
        <v>74</v>
      </c>
      <c r="E78" s="64">
        <v>0</v>
      </c>
      <c r="F78" s="130">
        <v>0.1</v>
      </c>
      <c r="G78" s="64">
        <v>0</v>
      </c>
      <c r="H78" s="64">
        <v>0</v>
      </c>
      <c r="I78" s="158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2:29" outlineLevel="1" x14ac:dyDescent="0.3">
      <c r="C79" s="50" t="s">
        <v>104</v>
      </c>
      <c r="D79" s="80" t="s">
        <v>74</v>
      </c>
      <c r="E79" s="137">
        <f t="shared" ref="E79:N79" si="26">+E73</f>
        <v>0.4</v>
      </c>
      <c r="F79" s="137">
        <f t="shared" si="26"/>
        <v>0.2</v>
      </c>
      <c r="G79" s="137">
        <f t="shared" si="26"/>
        <v>2.7</v>
      </c>
      <c r="H79" s="137">
        <f t="shared" si="26"/>
        <v>3.5</v>
      </c>
      <c r="I79" s="172">
        <f t="shared" si="26"/>
        <v>6.6999999999999993</v>
      </c>
      <c r="J79" s="137">
        <f t="shared" si="26"/>
        <v>11.45487994018</v>
      </c>
      <c r="K79" s="137">
        <f t="shared" si="26"/>
        <v>13.713386472707748</v>
      </c>
      <c r="L79" s="137">
        <f t="shared" si="26"/>
        <v>17.264533956286563</v>
      </c>
      <c r="M79" s="137">
        <f t="shared" si="26"/>
        <v>21.133386736041736</v>
      </c>
      <c r="N79" s="137">
        <f t="shared" si="26"/>
        <v>24.516625608968639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2:29" outlineLevel="1" x14ac:dyDescent="0.3">
      <c r="C80" s="168" t="s">
        <v>97</v>
      </c>
      <c r="D80" s="82" t="s">
        <v>74</v>
      </c>
      <c r="E80" s="165">
        <f t="shared" ref="E80:I80" si="27">SUM(E76:E79)</f>
        <v>1.5</v>
      </c>
      <c r="F80" s="165">
        <f t="shared" si="27"/>
        <v>0.30000000000000004</v>
      </c>
      <c r="G80" s="165">
        <f t="shared" si="27"/>
        <v>2.8000000000000003</v>
      </c>
      <c r="H80" s="165">
        <f t="shared" si="27"/>
        <v>5.4</v>
      </c>
      <c r="I80" s="165">
        <f t="shared" si="27"/>
        <v>11.1</v>
      </c>
      <c r="J80" s="165">
        <f>SUM(J76:J79)</f>
        <v>19.850017935499999</v>
      </c>
      <c r="K80" s="165">
        <f t="shared" ref="K80:N80" si="28">SUM(K76:K79)</f>
        <v>30.369625704914</v>
      </c>
      <c r="L80" s="165">
        <f t="shared" si="28"/>
        <v>43.338183494380765</v>
      </c>
      <c r="M80" s="165">
        <f t="shared" si="28"/>
        <v>59.343889371711391</v>
      </c>
      <c r="N80" s="165">
        <f t="shared" si="28"/>
        <v>77.519576713085314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3:29" outlineLevel="1" x14ac:dyDescent="0.3">
      <c r="C81" s="108"/>
      <c r="D81" s="102"/>
      <c r="E81" s="122"/>
      <c r="F81" s="122"/>
      <c r="G81" s="122"/>
      <c r="H81" s="122"/>
      <c r="I81" s="122"/>
      <c r="J81" s="101"/>
      <c r="K81" s="101"/>
      <c r="L81" s="101"/>
      <c r="M81" s="101"/>
      <c r="N81" s="10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3:29" outlineLevel="1" x14ac:dyDescent="0.3">
      <c r="C82" s="37" t="s">
        <v>106</v>
      </c>
      <c r="D82" s="80" t="s">
        <v>84</v>
      </c>
      <c r="E82" s="122"/>
      <c r="F82" s="69"/>
      <c r="G82" s="69">
        <f>-G77/AVERAGE(F13,G13)</f>
        <v>4.6565774155995343E-4</v>
      </c>
      <c r="H82" s="69">
        <f>-H77/AVERAGE(G13,H13)</f>
        <v>8.5702042565347807E-4</v>
      </c>
      <c r="I82" s="184">
        <f>-I77/AVERAGE(H13,I13)</f>
        <v>5.4821555835754619E-4</v>
      </c>
      <c r="J82" s="96">
        <f>INDEX(J83:J85,MATCH(Scenario,$C83:$C85,0))</f>
        <v>1.1000000000000001E-3</v>
      </c>
      <c r="K82" s="96">
        <f>INDEX(K83:K85,MATCH(Scenario,$C83:$C85,0))</f>
        <v>1.1000000000000001E-3</v>
      </c>
      <c r="L82" s="96">
        <f>INDEX(L83:L85,MATCH(Scenario,$C83:$C85,0))</f>
        <v>1.1999999999999999E-3</v>
      </c>
      <c r="M82" s="96">
        <f>INDEX(M83:M85,MATCH(Scenario,$C83:$C85,0))</f>
        <v>1.1999999999999999E-3</v>
      </c>
      <c r="N82" s="96">
        <f>INDEX(N83:N85,MATCH(Scenario,$C83:$C85,0))</f>
        <v>1.2999999999999999E-3</v>
      </c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3:29" outlineLevel="1" x14ac:dyDescent="0.3">
      <c r="C83" s="27" t="str">
        <f>+$C$19</f>
        <v>Base</v>
      </c>
      <c r="D83" s="80" t="s">
        <v>84</v>
      </c>
      <c r="E83" s="122"/>
      <c r="F83" s="122"/>
      <c r="G83" s="122"/>
      <c r="H83" s="122"/>
      <c r="I83" s="122"/>
      <c r="J83" s="94">
        <v>1.1000000000000001E-3</v>
      </c>
      <c r="K83" s="94">
        <v>1.1000000000000001E-3</v>
      </c>
      <c r="L83" s="94">
        <v>1.1999999999999999E-3</v>
      </c>
      <c r="M83" s="94">
        <v>1.1999999999999999E-3</v>
      </c>
      <c r="N83" s="94">
        <v>1.2999999999999999E-3</v>
      </c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3:29" outlineLevel="1" x14ac:dyDescent="0.3">
      <c r="C84" s="54" t="str">
        <f>+$C$20</f>
        <v>Upside</v>
      </c>
      <c r="D84" s="80" t="s">
        <v>84</v>
      </c>
      <c r="E84" s="122"/>
      <c r="F84" s="122"/>
      <c r="G84" s="122"/>
      <c r="H84" s="122"/>
      <c r="I84" s="122"/>
      <c r="J84" s="94">
        <v>1E-3</v>
      </c>
      <c r="K84" s="94">
        <v>1E-3</v>
      </c>
      <c r="L84" s="94">
        <v>1.1000000000000001E-3</v>
      </c>
      <c r="M84" s="94">
        <v>1.1000000000000001E-3</v>
      </c>
      <c r="N84" s="94">
        <v>1.1999999999999999E-3</v>
      </c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3:29" outlineLevel="1" x14ac:dyDescent="0.3">
      <c r="C85" s="54" t="str">
        <f>+$C$21</f>
        <v>Downside</v>
      </c>
      <c r="D85" s="80" t="s">
        <v>84</v>
      </c>
      <c r="E85" s="122"/>
      <c r="F85" s="122"/>
      <c r="G85" s="122"/>
      <c r="H85" s="122"/>
      <c r="I85" s="122"/>
      <c r="J85" s="70">
        <v>1.5E-3</v>
      </c>
      <c r="K85" s="70">
        <v>1.8E-3</v>
      </c>
      <c r="L85" s="70">
        <v>2.3E-3</v>
      </c>
      <c r="M85" s="70">
        <v>2E-3</v>
      </c>
      <c r="N85" s="70">
        <v>1.8E-3</v>
      </c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3:29" outlineLevel="1" x14ac:dyDescent="0.3">
      <c r="C86" s="108"/>
      <c r="D86" s="102"/>
      <c r="E86" s="122"/>
      <c r="F86" s="122"/>
      <c r="G86" s="122"/>
      <c r="H86" s="122"/>
      <c r="I86" s="122"/>
      <c r="J86" s="101"/>
      <c r="K86" s="101"/>
      <c r="L86" s="101"/>
      <c r="M86" s="101"/>
      <c r="N86" s="101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41"/>
      <c r="AB86" s="41"/>
      <c r="AC86" s="41"/>
    </row>
    <row r="87" spans="3:29" outlineLevel="1" x14ac:dyDescent="0.3">
      <c r="C87" s="106" t="s">
        <v>105</v>
      </c>
      <c r="D87" s="166"/>
      <c r="E87" s="167"/>
      <c r="F87" s="167"/>
      <c r="G87" s="167"/>
      <c r="H87" s="167"/>
      <c r="I87" s="167"/>
      <c r="J87" s="107"/>
      <c r="K87" s="107"/>
      <c r="L87" s="107"/>
      <c r="M87" s="107"/>
      <c r="N87" s="107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3:29" outlineLevel="1" x14ac:dyDescent="0.3">
      <c r="C88" s="26" t="str">
        <f>+$C$8</f>
        <v>Commercial Mortgages:</v>
      </c>
      <c r="D88" s="80" t="s">
        <v>84</v>
      </c>
      <c r="E88" s="71"/>
      <c r="F88" s="71"/>
      <c r="G88" s="71">
        <f>IFERROR(+G68/AVERAGE(F8,G8),0)</f>
        <v>2.3437499999999999E-3</v>
      </c>
      <c r="H88" s="71">
        <f>IFERROR(+H68/AVERAGE(G8,H8),0)</f>
        <v>7.9766019675618193E-4</v>
      </c>
      <c r="I88" s="186">
        <f>IFERROR(+I68/AVERAGE(H8,I8),0)</f>
        <v>1.3205678441729944E-3</v>
      </c>
      <c r="J88" s="96">
        <f>INDEX(J89:J91,MATCH(Scenario,$C89:$C91,0))</f>
        <v>1.5E-3</v>
      </c>
      <c r="K88" s="96">
        <f>INDEX(K89:K91,MATCH(Scenario,$C89:$C91,0))</f>
        <v>1.6000000000000001E-3</v>
      </c>
      <c r="L88" s="96">
        <f>INDEX(L89:L91,MATCH(Scenario,$C89:$C91,0))</f>
        <v>1.6999999999999999E-3</v>
      </c>
      <c r="M88" s="96">
        <f>INDEX(M89:M91,MATCH(Scenario,$C89:$C91,0))</f>
        <v>1.8E-3</v>
      </c>
      <c r="N88" s="96">
        <f>INDEX(N89:N91,MATCH(Scenario,$C89:$C91,0))</f>
        <v>1.9E-3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3:29" outlineLevel="1" x14ac:dyDescent="0.3">
      <c r="C89" s="27" t="str">
        <f>+$C$19</f>
        <v>Base</v>
      </c>
      <c r="D89" s="80" t="s">
        <v>84</v>
      </c>
      <c r="E89" s="71"/>
      <c r="F89" s="71"/>
      <c r="G89" s="71"/>
      <c r="H89" s="71"/>
      <c r="I89" s="71"/>
      <c r="J89" s="94">
        <v>1.5E-3</v>
      </c>
      <c r="K89" s="94">
        <v>1.6000000000000001E-3</v>
      </c>
      <c r="L89" s="94">
        <v>1.6999999999999999E-3</v>
      </c>
      <c r="M89" s="94">
        <v>1.8E-3</v>
      </c>
      <c r="N89" s="94">
        <v>1.9E-3</v>
      </c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3:29" outlineLevel="1" x14ac:dyDescent="0.3">
      <c r="C90" s="54" t="str">
        <f>+$C$20</f>
        <v>Upside</v>
      </c>
      <c r="D90" s="80" t="s">
        <v>84</v>
      </c>
      <c r="E90" s="71"/>
      <c r="F90" s="71"/>
      <c r="G90" s="71"/>
      <c r="H90" s="71"/>
      <c r="I90" s="71"/>
      <c r="J90" s="94">
        <v>1.5E-3</v>
      </c>
      <c r="K90" s="94">
        <v>1.5E-3</v>
      </c>
      <c r="L90" s="94">
        <v>1.6000000000000001E-3</v>
      </c>
      <c r="M90" s="94">
        <v>1.6000000000000001E-3</v>
      </c>
      <c r="N90" s="94">
        <v>1.6000000000000001E-3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3:29" outlineLevel="1" x14ac:dyDescent="0.3">
      <c r="C91" s="54" t="str">
        <f>+$C$21</f>
        <v>Downside</v>
      </c>
      <c r="D91" s="80" t="s">
        <v>84</v>
      </c>
      <c r="E91" s="71"/>
      <c r="F91" s="71"/>
      <c r="G91" s="71"/>
      <c r="H91" s="71"/>
      <c r="I91" s="71"/>
      <c r="J91" s="70">
        <v>1.6000000000000001E-3</v>
      </c>
      <c r="K91" s="70">
        <v>2E-3</v>
      </c>
      <c r="L91" s="70">
        <v>2.5000000000000001E-3</v>
      </c>
      <c r="M91" s="70">
        <v>2.2000000000000001E-3</v>
      </c>
      <c r="N91" s="70">
        <v>2E-3</v>
      </c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3:29" outlineLevel="1" x14ac:dyDescent="0.3">
      <c r="C92" s="50"/>
      <c r="D92" s="80"/>
      <c r="E92" s="71"/>
      <c r="F92" s="71"/>
      <c r="G92" s="71"/>
      <c r="H92" s="71"/>
      <c r="I92" s="71"/>
      <c r="J92" s="71"/>
      <c r="K92" s="71"/>
      <c r="L92" s="71"/>
      <c r="M92" s="71"/>
      <c r="N92" s="7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3:29" outlineLevel="1" x14ac:dyDescent="0.3">
      <c r="C93" s="50" t="str">
        <f>C69</f>
        <v>Asset Finance:</v>
      </c>
      <c r="D93" s="80" t="s">
        <v>84</v>
      </c>
      <c r="E93" s="71"/>
      <c r="F93" s="71"/>
      <c r="G93" s="71">
        <f>IFERROR(+G69/AVERAGE(F9,G9),0)</f>
        <v>8.6206896551724137E-3</v>
      </c>
      <c r="H93" s="71">
        <f>IFERROR(+H69/AVERAGE(G9,H9),0)</f>
        <v>2.9641606036108865E-3</v>
      </c>
      <c r="I93" s="186">
        <f>IFERROR(+I69/AVERAGE(H9,I9),0)</f>
        <v>3.2815576460293152E-3</v>
      </c>
      <c r="J93" s="96">
        <f>INDEX(J94:J96,MATCH(Scenario,$C94:$C96,0))</f>
        <v>3.5000000000000001E-3</v>
      </c>
      <c r="K93" s="96">
        <f>INDEX(K94:K96,MATCH(Scenario,$C94:$C96,0))</f>
        <v>3.5999999999999999E-3</v>
      </c>
      <c r="L93" s="96">
        <f>INDEX(L94:L96,MATCH(Scenario,$C94:$C96,0))</f>
        <v>3.7000000000000002E-3</v>
      </c>
      <c r="M93" s="96">
        <f>INDEX(M94:M96,MATCH(Scenario,$C94:$C96,0))</f>
        <v>3.8E-3</v>
      </c>
      <c r="N93" s="96">
        <f>INDEX(N94:N96,MATCH(Scenario,$C94:$C96,0))</f>
        <v>3.8999999999999998E-3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3:29" outlineLevel="1" x14ac:dyDescent="0.3">
      <c r="C94" s="27" t="str">
        <f>+$C$19</f>
        <v>Base</v>
      </c>
      <c r="D94" s="80" t="s">
        <v>84</v>
      </c>
      <c r="E94" s="71"/>
      <c r="F94" s="71"/>
      <c r="G94" s="71"/>
      <c r="H94" s="71"/>
      <c r="I94" s="71"/>
      <c r="J94" s="94">
        <v>3.5000000000000001E-3</v>
      </c>
      <c r="K94" s="94">
        <v>3.5999999999999999E-3</v>
      </c>
      <c r="L94" s="94">
        <v>3.7000000000000002E-3</v>
      </c>
      <c r="M94" s="94">
        <v>3.8E-3</v>
      </c>
      <c r="N94" s="94">
        <v>3.8999999999999998E-3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3:29" outlineLevel="1" x14ac:dyDescent="0.3">
      <c r="C95" s="54" t="str">
        <f>+$C$20</f>
        <v>Upside</v>
      </c>
      <c r="D95" s="80" t="s">
        <v>84</v>
      </c>
      <c r="E95" s="71"/>
      <c r="F95" s="71"/>
      <c r="G95" s="71"/>
      <c r="H95" s="71"/>
      <c r="I95" s="71"/>
      <c r="J95" s="94">
        <v>3.5000000000000001E-3</v>
      </c>
      <c r="K95" s="94">
        <v>3.5000000000000001E-3</v>
      </c>
      <c r="L95" s="94">
        <v>3.5000000000000001E-3</v>
      </c>
      <c r="M95" s="94">
        <v>3.5999999999999999E-3</v>
      </c>
      <c r="N95" s="94">
        <v>3.5999999999999999E-3</v>
      </c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3:29" outlineLevel="1" x14ac:dyDescent="0.3">
      <c r="C96" s="54" t="str">
        <f>+$C$21</f>
        <v>Downside</v>
      </c>
      <c r="D96" s="80" t="s">
        <v>84</v>
      </c>
      <c r="E96" s="71"/>
      <c r="F96" s="71"/>
      <c r="G96" s="71"/>
      <c r="H96" s="71"/>
      <c r="I96" s="71"/>
      <c r="J96" s="70">
        <v>4.0000000000000001E-3</v>
      </c>
      <c r="K96" s="70">
        <v>5.0000000000000001E-3</v>
      </c>
      <c r="L96" s="70">
        <v>6.4999999999999997E-3</v>
      </c>
      <c r="M96" s="70">
        <v>5.0000000000000001E-3</v>
      </c>
      <c r="N96" s="70">
        <v>4.4999999999999997E-3</v>
      </c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3:29" outlineLevel="1" x14ac:dyDescent="0.3">
      <c r="C97" s="50"/>
      <c r="D97" s="80"/>
      <c r="E97" s="71"/>
      <c r="F97" s="71"/>
      <c r="G97" s="71"/>
      <c r="H97" s="71"/>
      <c r="I97" s="71"/>
      <c r="J97" s="71"/>
      <c r="K97" s="71"/>
      <c r="L97" s="71"/>
      <c r="M97" s="71"/>
      <c r="N97" s="7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3:29" outlineLevel="1" x14ac:dyDescent="0.3">
      <c r="C98" s="50" t="str">
        <f>C70</f>
        <v>Business Credit:</v>
      </c>
      <c r="D98" s="80" t="s">
        <v>84</v>
      </c>
      <c r="E98" s="71"/>
      <c r="F98" s="71"/>
      <c r="G98" s="71">
        <f>IFERROR(+G70/AVERAGE(F10,G10),0)</f>
        <v>0</v>
      </c>
      <c r="H98" s="71">
        <f>IFERROR(+H70/AVERAGE(G10,H10),0)</f>
        <v>0</v>
      </c>
      <c r="I98" s="186">
        <f>IFERROR(+I70/AVERAGE(H10,I10),0)</f>
        <v>3.5252643948296119E-3</v>
      </c>
      <c r="J98" s="96">
        <f>INDEX(J99:J101,MATCH(Scenario,$C99:$C101,0))</f>
        <v>3.5999999999999999E-3</v>
      </c>
      <c r="K98" s="96">
        <f>INDEX(K99:K101,MATCH(Scenario,$C99:$C101,0))</f>
        <v>3.7000000000000002E-3</v>
      </c>
      <c r="L98" s="96">
        <f>INDEX(L99:L101,MATCH(Scenario,$C99:$C101,0))</f>
        <v>3.8E-3</v>
      </c>
      <c r="M98" s="96">
        <f>INDEX(M99:M101,MATCH(Scenario,$C99:$C101,0))</f>
        <v>3.8999999999999998E-3</v>
      </c>
      <c r="N98" s="96">
        <f>INDEX(N99:N101,MATCH(Scenario,$C99:$C101,0))</f>
        <v>4.0000000000000001E-3</v>
      </c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41"/>
      <c r="AB98" s="41"/>
      <c r="AC98" s="41"/>
    </row>
    <row r="99" spans="3:29" outlineLevel="1" x14ac:dyDescent="0.3">
      <c r="C99" s="27" t="str">
        <f>+$C$19</f>
        <v>Base</v>
      </c>
      <c r="D99" s="80" t="s">
        <v>84</v>
      </c>
      <c r="E99" s="71"/>
      <c r="F99" s="71"/>
      <c r="G99" s="71"/>
      <c r="H99" s="71"/>
      <c r="I99" s="71"/>
      <c r="J99" s="94">
        <v>3.5999999999999999E-3</v>
      </c>
      <c r="K99" s="94">
        <v>3.7000000000000002E-3</v>
      </c>
      <c r="L99" s="94">
        <v>3.8E-3</v>
      </c>
      <c r="M99" s="94">
        <v>3.8999999999999998E-3</v>
      </c>
      <c r="N99" s="94">
        <v>4.0000000000000001E-3</v>
      </c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3:29" outlineLevel="1" x14ac:dyDescent="0.3">
      <c r="C100" s="54" t="str">
        <f>+$C$20</f>
        <v>Upside</v>
      </c>
      <c r="D100" s="80" t="s">
        <v>84</v>
      </c>
      <c r="E100" s="71"/>
      <c r="F100" s="71"/>
      <c r="G100" s="71"/>
      <c r="H100" s="71"/>
      <c r="I100" s="71"/>
      <c r="J100" s="94">
        <v>3.5000000000000001E-3</v>
      </c>
      <c r="K100" s="94">
        <v>3.5000000000000001E-3</v>
      </c>
      <c r="L100" s="94">
        <v>3.5999999999999999E-3</v>
      </c>
      <c r="M100" s="94">
        <v>3.5999999999999999E-3</v>
      </c>
      <c r="N100" s="94">
        <v>3.7000000000000002E-3</v>
      </c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3:29" outlineLevel="1" x14ac:dyDescent="0.3">
      <c r="C101" s="54" t="str">
        <f>+$C$21</f>
        <v>Downside</v>
      </c>
      <c r="D101" s="80" t="s">
        <v>84</v>
      </c>
      <c r="E101" s="71"/>
      <c r="F101" s="71"/>
      <c r="G101" s="71"/>
      <c r="H101" s="71"/>
      <c r="I101" s="71"/>
      <c r="J101" s="70">
        <v>4.0000000000000001E-3</v>
      </c>
      <c r="K101" s="70">
        <v>5.0000000000000001E-3</v>
      </c>
      <c r="L101" s="70">
        <v>6.0000000000000001E-3</v>
      </c>
      <c r="M101" s="70">
        <v>5.0000000000000001E-3</v>
      </c>
      <c r="N101" s="70">
        <v>4.4999999999999997E-3</v>
      </c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3:29" outlineLevel="1" x14ac:dyDescent="0.3">
      <c r="C102" s="50"/>
      <c r="D102" s="80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3:29" outlineLevel="1" x14ac:dyDescent="0.3">
      <c r="C103" s="50" t="str">
        <f>C71</f>
        <v>Secured Lending:</v>
      </c>
      <c r="D103" s="80" t="s">
        <v>84</v>
      </c>
      <c r="E103" s="71"/>
      <c r="F103" s="71"/>
      <c r="G103" s="71">
        <f>IFERROR(+G71/AVERAGE(F11,G11),0)</f>
        <v>6.2499999999999995E-3</v>
      </c>
      <c r="H103" s="71">
        <f>IFERROR(+H71/AVERAGE(G11,H11),0)</f>
        <v>3.4805307809440945E-3</v>
      </c>
      <c r="I103" s="186">
        <f>IFERROR(+I71/AVERAGE(H11,I11),0)</f>
        <v>-2.858776443682104E-4</v>
      </c>
      <c r="J103" s="96">
        <f>INDEX(J104:J106,MATCH(Scenario,$C104:$C106,0))</f>
        <v>3.5999999999999999E-3</v>
      </c>
      <c r="K103" s="96">
        <f>INDEX(K104:K106,MATCH(Scenario,$C104:$C106,0))</f>
        <v>3.7000000000000002E-3</v>
      </c>
      <c r="L103" s="96">
        <f>INDEX(L104:L106,MATCH(Scenario,$C104:$C106,0))</f>
        <v>3.8E-3</v>
      </c>
      <c r="M103" s="96">
        <f>INDEX(M104:M106,MATCH(Scenario,$C104:$C106,0))</f>
        <v>3.8999999999999998E-3</v>
      </c>
      <c r="N103" s="96">
        <f>INDEX(N104:N106,MATCH(Scenario,$C104:$C106,0))</f>
        <v>4.0000000000000001E-3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3:29" outlineLevel="1" x14ac:dyDescent="0.3">
      <c r="C104" s="27" t="str">
        <f>+$C$19</f>
        <v>Base</v>
      </c>
      <c r="D104" s="80" t="s">
        <v>84</v>
      </c>
      <c r="E104" s="71"/>
      <c r="F104" s="71"/>
      <c r="G104" s="71"/>
      <c r="H104" s="71"/>
      <c r="I104" s="71"/>
      <c r="J104" s="94">
        <v>3.5999999999999999E-3</v>
      </c>
      <c r="K104" s="94">
        <v>3.7000000000000002E-3</v>
      </c>
      <c r="L104" s="94">
        <v>3.8E-3</v>
      </c>
      <c r="M104" s="94">
        <v>3.8999999999999998E-3</v>
      </c>
      <c r="N104" s="94">
        <v>4.0000000000000001E-3</v>
      </c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3:29" outlineLevel="1" x14ac:dyDescent="0.3">
      <c r="C105" s="54" t="str">
        <f>+$C$20</f>
        <v>Upside</v>
      </c>
      <c r="D105" s="80" t="s">
        <v>84</v>
      </c>
      <c r="E105" s="71"/>
      <c r="F105" s="71"/>
      <c r="G105" s="71"/>
      <c r="H105" s="71"/>
      <c r="I105" s="71"/>
      <c r="J105" s="94">
        <v>3.5000000000000001E-3</v>
      </c>
      <c r="K105" s="94">
        <v>3.5000000000000001E-3</v>
      </c>
      <c r="L105" s="94">
        <v>3.5999999999999999E-3</v>
      </c>
      <c r="M105" s="94">
        <v>3.5999999999999999E-3</v>
      </c>
      <c r="N105" s="94">
        <v>3.7000000000000002E-3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3:29" outlineLevel="1" x14ac:dyDescent="0.3">
      <c r="C106" s="54" t="str">
        <f>+$C$21</f>
        <v>Downside</v>
      </c>
      <c r="D106" s="80" t="s">
        <v>84</v>
      </c>
      <c r="E106" s="71"/>
      <c r="F106" s="71"/>
      <c r="G106" s="71"/>
      <c r="H106" s="71"/>
      <c r="I106" s="71"/>
      <c r="J106" s="70">
        <v>4.0000000000000001E-3</v>
      </c>
      <c r="K106" s="70">
        <v>5.0000000000000001E-3</v>
      </c>
      <c r="L106" s="70">
        <v>6.0000000000000001E-3</v>
      </c>
      <c r="M106" s="70">
        <v>5.0000000000000001E-3</v>
      </c>
      <c r="N106" s="70">
        <v>4.4999999999999997E-3</v>
      </c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3:29" outlineLevel="1" x14ac:dyDescent="0.3">
      <c r="C107" s="50"/>
      <c r="D107" s="8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3:29" outlineLevel="1" x14ac:dyDescent="0.3">
      <c r="C108" s="50" t="str">
        <f>C72</f>
        <v>Consumer Lending:</v>
      </c>
      <c r="D108" s="80" t="s">
        <v>84</v>
      </c>
      <c r="E108" s="71"/>
      <c r="F108" s="71"/>
      <c r="G108" s="71">
        <f>IFERROR(+G72/AVERAGE(F12,G12),0)</f>
        <v>1.2903225806451613E-2</v>
      </c>
      <c r="H108" s="71">
        <f>IFERROR(+H72/AVERAGE(G12,H12),0)</f>
        <v>1.778385772913817E-2</v>
      </c>
      <c r="I108" s="186">
        <f>IFERROR(+I72/AVERAGE(H12,I12),0)</f>
        <v>2.2876751501286818E-2</v>
      </c>
      <c r="J108" s="96">
        <f>INDEX(J109:J111,MATCH(Scenario,$C109:$C111,0))</f>
        <v>2.3E-2</v>
      </c>
      <c r="K108" s="96">
        <f>INDEX(K109:K111,MATCH(Scenario,$C109:$C111,0))</f>
        <v>2.35E-2</v>
      </c>
      <c r="L108" s="96">
        <f>INDEX(L109:L111,MATCH(Scenario,$C109:$C111,0))</f>
        <v>2.4E-2</v>
      </c>
      <c r="M108" s="96">
        <f>INDEX(M109:M111,MATCH(Scenario,$C109:$C111,0))</f>
        <v>2.4500000000000001E-2</v>
      </c>
      <c r="N108" s="96">
        <f>INDEX(N109:N111,MATCH(Scenario,$C109:$C111,0))</f>
        <v>2.5000000000000001E-2</v>
      </c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3:29" outlineLevel="1" x14ac:dyDescent="0.3">
      <c r="C109" s="27" t="str">
        <f>+$C$19</f>
        <v>Base</v>
      </c>
      <c r="D109" s="80" t="s">
        <v>84</v>
      </c>
      <c r="E109" s="16"/>
      <c r="F109" s="16"/>
      <c r="G109" s="16"/>
      <c r="H109" s="16"/>
      <c r="I109" s="16"/>
      <c r="J109" s="94">
        <v>2.3E-2</v>
      </c>
      <c r="K109" s="94">
        <v>2.35E-2</v>
      </c>
      <c r="L109" s="94">
        <v>2.4E-2</v>
      </c>
      <c r="M109" s="94">
        <v>2.4500000000000001E-2</v>
      </c>
      <c r="N109" s="94">
        <v>2.5000000000000001E-2</v>
      </c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3:29" outlineLevel="1" x14ac:dyDescent="0.3">
      <c r="C110" s="54" t="str">
        <f>+$C$20</f>
        <v>Upside</v>
      </c>
      <c r="D110" s="80" t="s">
        <v>84</v>
      </c>
      <c r="E110" s="16"/>
      <c r="F110" s="16"/>
      <c r="G110" s="16"/>
      <c r="H110" s="16"/>
      <c r="I110" s="16"/>
      <c r="J110" s="94">
        <v>2.3E-2</v>
      </c>
      <c r="K110" s="94">
        <v>2.3E-2</v>
      </c>
      <c r="L110" s="94">
        <v>2.35E-2</v>
      </c>
      <c r="M110" s="94">
        <v>2.35E-2</v>
      </c>
      <c r="N110" s="94">
        <v>2.4E-2</v>
      </c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3:29" outlineLevel="1" x14ac:dyDescent="0.3">
      <c r="C111" s="54" t="str">
        <f>+$C$21</f>
        <v>Downside</v>
      </c>
      <c r="D111" s="80" t="s">
        <v>84</v>
      </c>
      <c r="E111" s="16"/>
      <c r="F111" s="16"/>
      <c r="G111" s="16"/>
      <c r="H111" s="16"/>
      <c r="I111" s="16"/>
      <c r="J111" s="70">
        <v>2.4E-2</v>
      </c>
      <c r="K111" s="70">
        <v>2.5999999999999999E-2</v>
      </c>
      <c r="L111" s="70">
        <v>2.8500000000000001E-2</v>
      </c>
      <c r="M111" s="70">
        <v>2.75E-2</v>
      </c>
      <c r="N111" s="70">
        <v>2.6499999999999999E-2</v>
      </c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3:29" outlineLevel="1" x14ac:dyDescent="0.3">
      <c r="C112" s="55"/>
      <c r="D112" s="102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3:29" outlineLevel="1" x14ac:dyDescent="0.3">
      <c r="C113" s="37" t="s">
        <v>8</v>
      </c>
      <c r="D113" s="80" t="s">
        <v>74</v>
      </c>
      <c r="E113" s="128">
        <f t="shared" ref="E113:N113" si="29">+E13</f>
        <v>23.4</v>
      </c>
      <c r="F113" s="128">
        <f t="shared" si="29"/>
        <v>111</v>
      </c>
      <c r="G113" s="128">
        <f t="shared" si="29"/>
        <v>748</v>
      </c>
      <c r="H113" s="128">
        <f t="shared" si="29"/>
        <v>1352.3</v>
      </c>
      <c r="I113" s="134">
        <f t="shared" si="29"/>
        <v>2295.9</v>
      </c>
      <c r="J113" s="128">
        <f t="shared" si="29"/>
        <v>2622.0309175999996</v>
      </c>
      <c r="K113" s="128">
        <f t="shared" si="29"/>
        <v>3184.839452024999</v>
      </c>
      <c r="L113" s="128">
        <f t="shared" si="29"/>
        <v>3975.1208260079993</v>
      </c>
      <c r="M113" s="128">
        <f t="shared" si="29"/>
        <v>4571.0139385105194</v>
      </c>
      <c r="N113" s="128">
        <f t="shared" si="29"/>
        <v>5184.2757039429034</v>
      </c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3:29" outlineLevel="1" x14ac:dyDescent="0.3">
      <c r="C114" s="55" t="s">
        <v>121</v>
      </c>
      <c r="D114" s="80" t="s">
        <v>74</v>
      </c>
      <c r="E114" s="135">
        <f>+E113</f>
        <v>23.4</v>
      </c>
      <c r="F114" s="135">
        <f>+F113</f>
        <v>111</v>
      </c>
      <c r="G114" s="135">
        <f>+G113</f>
        <v>748</v>
      </c>
      <c r="H114" s="135">
        <f>+H113</f>
        <v>1352.3</v>
      </c>
      <c r="I114" s="135">
        <f>+I113</f>
        <v>2295.9</v>
      </c>
      <c r="J114" s="135">
        <f>+J113+SUM($J77:J77)</f>
        <v>2619.3260555953198</v>
      </c>
      <c r="K114" s="135">
        <f>+K113+SUM($J77:K77)</f>
        <v>3178.9408113170252</v>
      </c>
      <c r="L114" s="135">
        <f>+L113+SUM($J77:L77)</f>
        <v>3964.9262091332057</v>
      </c>
      <c r="M114" s="135">
        <f>+M113+SUM($J77:M77)</f>
        <v>4555.691640777015</v>
      </c>
      <c r="N114" s="135">
        <f>+N113+SUM($J77:N77)</f>
        <v>5162.6124679418044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3:29" outlineLevel="1" x14ac:dyDescent="0.3">
      <c r="C115" s="108" t="s">
        <v>9</v>
      </c>
      <c r="D115" s="80" t="s">
        <v>74</v>
      </c>
      <c r="E115" s="57"/>
      <c r="F115" s="57">
        <f t="shared" ref="F115:I115" si="30">AVERAGE(E114,F114)</f>
        <v>67.2</v>
      </c>
      <c r="G115" s="57">
        <f t="shared" si="30"/>
        <v>429.5</v>
      </c>
      <c r="H115" s="57">
        <f t="shared" si="30"/>
        <v>1050.1500000000001</v>
      </c>
      <c r="I115" s="135">
        <f t="shared" si="30"/>
        <v>1824.1</v>
      </c>
      <c r="J115" s="57">
        <f t="shared" ref="J115" si="31">AVERAGE(I114,J114)</f>
        <v>2457.6130277976599</v>
      </c>
      <c r="K115" s="57">
        <f t="shared" ref="K115" si="32">AVERAGE(J114,K114)</f>
        <v>2899.1334334561725</v>
      </c>
      <c r="L115" s="57">
        <f t="shared" ref="L115" si="33">AVERAGE(K114,L114)</f>
        <v>3571.9335102251152</v>
      </c>
      <c r="M115" s="57">
        <f t="shared" ref="M115" si="34">AVERAGE(L114,M114)</f>
        <v>4260.3089249551103</v>
      </c>
      <c r="N115" s="57">
        <f t="shared" ref="N115" si="35">AVERAGE(M114,N114)</f>
        <v>4859.1520543594097</v>
      </c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3:29" outlineLevel="1" x14ac:dyDescent="0.3">
      <c r="C116" s="109"/>
      <c r="D116" s="102"/>
      <c r="E116" s="122"/>
      <c r="F116" s="101"/>
      <c r="G116" s="136"/>
      <c r="H116" s="101"/>
      <c r="I116" s="101"/>
      <c r="J116" s="101"/>
      <c r="K116" s="101"/>
      <c r="L116" s="101"/>
      <c r="M116" s="101"/>
      <c r="N116" s="10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3:29" outlineLevel="1" x14ac:dyDescent="0.3">
      <c r="C117" s="37" t="s">
        <v>100</v>
      </c>
      <c r="D117" s="80" t="s">
        <v>74</v>
      </c>
      <c r="E117" s="64">
        <v>2.5529999999999999</v>
      </c>
      <c r="F117" s="64">
        <v>0.47799999999999998</v>
      </c>
      <c r="G117" s="64">
        <f>0.681+1.244+1.148</f>
        <v>3.073</v>
      </c>
      <c r="H117" s="64">
        <v>8.6</v>
      </c>
      <c r="I117" s="158">
        <v>13.2</v>
      </c>
      <c r="J117" s="57">
        <f>+J118*J80</f>
        <v>27.157877047280856</v>
      </c>
      <c r="K117" s="57">
        <f t="shared" ref="K117:N117" si="36">+K118*K80</f>
        <v>41.550318168275219</v>
      </c>
      <c r="L117" s="57">
        <f t="shared" si="36"/>
        <v>59.293299513245138</v>
      </c>
      <c r="M117" s="57">
        <f t="shared" si="36"/>
        <v>81.191566491336744</v>
      </c>
      <c r="N117" s="57">
        <f t="shared" si="36"/>
        <v>106.0587018093391</v>
      </c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3:29" outlineLevel="1" x14ac:dyDescent="0.3">
      <c r="C118" s="50" t="s">
        <v>122</v>
      </c>
      <c r="D118" s="80" t="s">
        <v>84</v>
      </c>
      <c r="E118" s="122"/>
      <c r="F118" s="15">
        <f>+F117/F80</f>
        <v>1.593333333333333</v>
      </c>
      <c r="G118" s="15">
        <f>+G117/G80</f>
        <v>1.0974999999999999</v>
      </c>
      <c r="H118" s="15">
        <f>+H117/H80</f>
        <v>1.5925925925925923</v>
      </c>
      <c r="I118" s="16">
        <f>+I117/I80</f>
        <v>1.1891891891891893</v>
      </c>
      <c r="J118" s="183">
        <f>AVERAGE(F118:I118)</f>
        <v>1.3681537787787788</v>
      </c>
      <c r="K118" s="183">
        <f>+J118</f>
        <v>1.3681537787787788</v>
      </c>
      <c r="L118" s="183">
        <f t="shared" ref="L118:N118" si="37">+K118</f>
        <v>1.3681537787787788</v>
      </c>
      <c r="M118" s="183">
        <f t="shared" si="37"/>
        <v>1.3681537787787788</v>
      </c>
      <c r="N118" s="183">
        <f t="shared" si="37"/>
        <v>1.3681537787787788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3:29" outlineLevel="1" x14ac:dyDescent="0.3">
      <c r="C119" s="101"/>
      <c r="D119" s="102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3:29" outlineLevel="1" x14ac:dyDescent="0.3">
      <c r="C120" s="106" t="s">
        <v>10</v>
      </c>
      <c r="D120" s="166"/>
      <c r="E120" s="167"/>
      <c r="F120" s="107"/>
      <c r="G120" s="107"/>
      <c r="H120" s="107"/>
      <c r="I120" s="107"/>
      <c r="J120" s="107"/>
      <c r="K120" s="107"/>
      <c r="L120" s="107"/>
      <c r="M120" s="107"/>
      <c r="N120" s="107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</row>
    <row r="121" spans="3:29" outlineLevel="1" x14ac:dyDescent="0.3">
      <c r="C121" s="50" t="s">
        <v>11</v>
      </c>
      <c r="D121" s="80" t="s">
        <v>84</v>
      </c>
      <c r="E121" s="69" t="str">
        <f t="shared" ref="E121:I121" si="38">IFERROR(-E77/E115,"N/A")</f>
        <v>N/A</v>
      </c>
      <c r="F121" s="69">
        <f t="shared" si="38"/>
        <v>0</v>
      </c>
      <c r="G121" s="69">
        <f t="shared" si="38"/>
        <v>4.6565774155995343E-4</v>
      </c>
      <c r="H121" s="69">
        <f t="shared" si="38"/>
        <v>8.5702042565347807E-4</v>
      </c>
      <c r="I121" s="184">
        <f t="shared" si="38"/>
        <v>5.4821555835754619E-4</v>
      </c>
      <c r="J121" s="69">
        <f t="shared" ref="J121:N121" si="39">IFERROR(-J77/J115,"N/A")</f>
        <v>1.1006053329331131E-3</v>
      </c>
      <c r="K121" s="69">
        <f t="shared" si="39"/>
        <v>1.1016321865138573E-3</v>
      </c>
      <c r="L121" s="69">
        <f t="shared" si="39"/>
        <v>1.2027032850757213E-3</v>
      </c>
      <c r="M121" s="69">
        <f t="shared" si="39"/>
        <v>1.2035936710305909E-3</v>
      </c>
      <c r="N121" s="69">
        <f t="shared" si="39"/>
        <v>1.3049474880922739E-3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3:29" outlineLevel="1" x14ac:dyDescent="0.3">
      <c r="C122" s="50" t="s">
        <v>98</v>
      </c>
      <c r="D122" s="80" t="s">
        <v>84</v>
      </c>
      <c r="E122" s="69">
        <f t="shared" ref="E122:I122" si="40">IFERROR(-E77/E80,"N/A")</f>
        <v>0.19999999999999998</v>
      </c>
      <c r="F122" s="69">
        <f t="shared" si="40"/>
        <v>0</v>
      </c>
      <c r="G122" s="69">
        <f t="shared" si="40"/>
        <v>7.1428571428571425E-2</v>
      </c>
      <c r="H122" s="69">
        <f t="shared" si="40"/>
        <v>0.16666666666666666</v>
      </c>
      <c r="I122" s="184">
        <f t="shared" si="40"/>
        <v>9.00900900900901E-2</v>
      </c>
      <c r="J122" s="69">
        <f t="shared" ref="J122:N122" si="41">IFERROR(-J77/J80,"N/A")</f>
        <v>0.13626496527454485</v>
      </c>
      <c r="K122" s="69">
        <f t="shared" si="41"/>
        <v>0.10516358463966764</v>
      </c>
      <c r="L122" s="69">
        <f t="shared" si="41"/>
        <v>9.912681659527367E-2</v>
      </c>
      <c r="M122" s="69">
        <f t="shared" si="41"/>
        <v>8.6406214911074294E-2</v>
      </c>
      <c r="N122" s="69">
        <f t="shared" si="41"/>
        <v>8.1797895918133579E-2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3:29" outlineLevel="1" x14ac:dyDescent="0.3">
      <c r="C123" s="50" t="s">
        <v>99</v>
      </c>
      <c r="D123" s="80" t="s">
        <v>84</v>
      </c>
      <c r="E123" s="69">
        <f t="shared" ref="E123:I123" si="42">IFERROR(+E80/E114,"N/A")</f>
        <v>6.4102564102564111E-2</v>
      </c>
      <c r="F123" s="69">
        <f t="shared" si="42"/>
        <v>2.7027027027027033E-3</v>
      </c>
      <c r="G123" s="69">
        <f t="shared" si="42"/>
        <v>3.7433155080213907E-3</v>
      </c>
      <c r="H123" s="69">
        <f t="shared" si="42"/>
        <v>3.9931967758633441E-3</v>
      </c>
      <c r="I123" s="184">
        <f t="shared" si="42"/>
        <v>4.8347053443094212E-3</v>
      </c>
      <c r="J123" s="69">
        <f t="shared" ref="J123:N123" si="43">IFERROR(+J80/J114,"N/A")</f>
        <v>7.5782920927683021E-3</v>
      </c>
      <c r="K123" s="69">
        <f t="shared" si="43"/>
        <v>9.5533787847820791E-3</v>
      </c>
      <c r="L123" s="69">
        <f t="shared" si="43"/>
        <v>1.0930388412917063E-2</v>
      </c>
      <c r="M123" s="69">
        <f t="shared" si="43"/>
        <v>1.3026318296114912E-2</v>
      </c>
      <c r="N123" s="69">
        <f t="shared" si="43"/>
        <v>1.501557151431711E-2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</row>
    <row r="124" spans="3:29" outlineLevel="1" x14ac:dyDescent="0.3">
      <c r="C124" s="50" t="s">
        <v>12</v>
      </c>
      <c r="D124" s="80" t="s">
        <v>84</v>
      </c>
      <c r="E124" s="61" t="str">
        <f t="shared" ref="E124:I124" si="44">IFERROR(-E77/D79,"N/A")</f>
        <v>N/A</v>
      </c>
      <c r="F124" s="61">
        <f t="shared" si="44"/>
        <v>0</v>
      </c>
      <c r="G124" s="61">
        <f t="shared" si="44"/>
        <v>1</v>
      </c>
      <c r="H124" s="61">
        <f t="shared" si="44"/>
        <v>0.33333333333333331</v>
      </c>
      <c r="I124" s="185">
        <f t="shared" si="44"/>
        <v>0.2857142857142857</v>
      </c>
      <c r="J124" s="61">
        <f t="shared" ref="J124" si="45">IFERROR(-J77/I79,"N/A")</f>
        <v>0.40371074696716419</v>
      </c>
      <c r="K124" s="61">
        <f t="shared" ref="K124" si="46">IFERROR(-K77/J79,"N/A")</f>
        <v>0.27881380861016369</v>
      </c>
      <c r="L124" s="61">
        <f t="shared" ref="L124" si="47">IFERROR(-L77/K79,"N/A")</f>
        <v>0.31326880310487926</v>
      </c>
      <c r="M124" s="61">
        <f t="shared" ref="M124" si="48">IFERROR(-M77/L79,"N/A")</f>
        <v>0.29700661898515718</v>
      </c>
      <c r="N124" s="61">
        <f t="shared" ref="N124" si="49">IFERROR(-N77/M79,"N/A")</f>
        <v>0.30004363932736966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</row>
    <row r="125" spans="3:29" outlineLevel="1" x14ac:dyDescent="0.3">
      <c r="C125" s="50" t="s">
        <v>123</v>
      </c>
      <c r="D125" s="80" t="s">
        <v>84</v>
      </c>
      <c r="E125" s="61">
        <f t="shared" ref="E125:I125" si="50">IFERROR(+E117/E114,"N/A")</f>
        <v>0.10910256410256411</v>
      </c>
      <c r="F125" s="61">
        <f t="shared" si="50"/>
        <v>4.306306306306306E-3</v>
      </c>
      <c r="G125" s="61">
        <f t="shared" si="50"/>
        <v>4.1082887700534757E-3</v>
      </c>
      <c r="H125" s="61">
        <f t="shared" si="50"/>
        <v>6.3595356060045845E-3</v>
      </c>
      <c r="I125" s="185">
        <f t="shared" si="50"/>
        <v>5.7493793283679593E-3</v>
      </c>
      <c r="J125" s="61">
        <f t="shared" ref="J125:N125" si="51">IFERROR(+J117/J114,"N/A")</f>
        <v>1.0368268963410292E-2</v>
      </c>
      <c r="K125" s="61">
        <f t="shared" si="51"/>
        <v>1.3070491284504618E-2</v>
      </c>
      <c r="L125" s="61">
        <f t="shared" si="51"/>
        <v>1.4954452210652256E-2</v>
      </c>
      <c r="M125" s="61">
        <f t="shared" si="51"/>
        <v>1.7822006600404759E-2</v>
      </c>
      <c r="N125" s="61">
        <f t="shared" si="51"/>
        <v>2.0543610907835946E-2</v>
      </c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41"/>
      <c r="AB125" s="41"/>
      <c r="AC125" s="41"/>
    </row>
    <row r="126" spans="3:29" x14ac:dyDescent="0.3">
      <c r="C126" s="101"/>
      <c r="D126" s="102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3:29" x14ac:dyDescent="0.3"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</row>
    <row r="128" spans="3:29" x14ac:dyDescent="0.3"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16:29" x14ac:dyDescent="0.3"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6:29" x14ac:dyDescent="0.3"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16:29" x14ac:dyDescent="0.3"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  <row r="132" spans="16:29" x14ac:dyDescent="0.3"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</row>
    <row r="133" spans="16:29" x14ac:dyDescent="0.3"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</row>
    <row r="134" spans="16:29" x14ac:dyDescent="0.3"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16:29" x14ac:dyDescent="0.3"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16:29" x14ac:dyDescent="0.3"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</row>
  </sheetData>
  <pageMargins left="0.7" right="0.7" top="0.75" bottom="0.75" header="0.3" footer="0.3"/>
  <pageSetup paperSize="9" scale="49" orientation="portrait" r:id="rId1"/>
  <rowBreaks count="1" manualBreakCount="1">
    <brk id="64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L150"/>
  <sheetViews>
    <sheetView showGridLines="0" zoomScaleNormal="100" workbookViewId="0">
      <selection activeCell="B2" sqref="B2"/>
    </sheetView>
  </sheetViews>
  <sheetFormatPr defaultRowHeight="14.4" x14ac:dyDescent="0.3"/>
  <cols>
    <col min="1" max="2" width="2.77734375" customWidth="1"/>
    <col min="3" max="3" width="42" customWidth="1"/>
    <col min="4" max="5" width="11.5546875" customWidth="1"/>
    <col min="6" max="7" width="2.77734375" customWidth="1"/>
    <col min="8" max="13" width="11.5546875" customWidth="1"/>
  </cols>
  <sheetData>
    <row r="2" spans="2:5" x14ac:dyDescent="0.3">
      <c r="B2" s="39" t="str">
        <f>Company_Name&amp;" - 1H Financial Results"</f>
        <v>Shawbrook Group PLC - 1H Financial Results</v>
      </c>
      <c r="E2" s="39"/>
    </row>
    <row r="3" spans="2:5" x14ac:dyDescent="0.3">
      <c r="B3" s="4" t="str">
        <f>+'Op-Model'!$B$3</f>
        <v>(GBP £ in Millions Except Per Share and Per Unit Data)</v>
      </c>
    </row>
    <row r="5" spans="2:5" x14ac:dyDescent="0.3">
      <c r="B5" s="21"/>
      <c r="C5" s="21"/>
      <c r="D5" s="21"/>
      <c r="E5" s="68"/>
    </row>
    <row r="6" spans="2:5" x14ac:dyDescent="0.3">
      <c r="B6" s="84" t="s">
        <v>399</v>
      </c>
      <c r="C6" s="84"/>
      <c r="D6" s="298" t="s">
        <v>379</v>
      </c>
      <c r="E6" s="298" t="s">
        <v>373</v>
      </c>
    </row>
    <row r="7" spans="2:5" x14ac:dyDescent="0.3">
      <c r="C7" s="173" t="s">
        <v>27</v>
      </c>
      <c r="D7" s="34"/>
      <c r="E7" s="34"/>
    </row>
    <row r="8" spans="2:5" x14ac:dyDescent="0.3">
      <c r="C8" s="174" t="s">
        <v>108</v>
      </c>
      <c r="D8" s="76">
        <v>67.8</v>
      </c>
      <c r="E8" s="76">
        <v>100.3</v>
      </c>
    </row>
    <row r="9" spans="2:5" x14ac:dyDescent="0.3">
      <c r="C9" s="175" t="s">
        <v>109</v>
      </c>
      <c r="D9" s="58">
        <v>-24.8</v>
      </c>
      <c r="E9" s="58">
        <v>-30.4</v>
      </c>
    </row>
    <row r="10" spans="2:5" x14ac:dyDescent="0.3">
      <c r="C10" s="176" t="s">
        <v>110</v>
      </c>
      <c r="D10" s="294">
        <f>SUM(D8:D9)</f>
        <v>43</v>
      </c>
      <c r="E10" s="294">
        <f>SUM(E8:E9)</f>
        <v>69.900000000000006</v>
      </c>
    </row>
    <row r="11" spans="2:5" x14ac:dyDescent="0.3">
      <c r="C11" s="3"/>
      <c r="D11" s="10"/>
      <c r="E11" s="10"/>
    </row>
    <row r="12" spans="2:5" x14ac:dyDescent="0.3">
      <c r="C12" s="110" t="s">
        <v>111</v>
      </c>
      <c r="D12" s="10"/>
      <c r="E12" s="10"/>
    </row>
    <row r="13" spans="2:5" x14ac:dyDescent="0.3">
      <c r="C13" s="26" t="s">
        <v>173</v>
      </c>
      <c r="D13" s="23">
        <v>7.8</v>
      </c>
      <c r="E13" s="23">
        <v>7.6</v>
      </c>
    </row>
    <row r="14" spans="2:5" x14ac:dyDescent="0.3">
      <c r="C14" s="26" t="s">
        <v>112</v>
      </c>
      <c r="D14" s="23">
        <v>0.6</v>
      </c>
      <c r="E14" s="23">
        <v>0.9</v>
      </c>
    </row>
    <row r="15" spans="2:5" x14ac:dyDescent="0.3">
      <c r="C15" s="26" t="s">
        <v>113</v>
      </c>
      <c r="D15" s="23">
        <v>-6.5</v>
      </c>
      <c r="E15" s="23">
        <v>-6.2</v>
      </c>
    </row>
    <row r="16" spans="2:5" x14ac:dyDescent="0.3">
      <c r="C16" s="119" t="s">
        <v>114</v>
      </c>
      <c r="D16" s="294">
        <f>SUM(D13:D15)</f>
        <v>1.9000000000000004</v>
      </c>
      <c r="E16" s="294">
        <f>SUM(E13:E15)</f>
        <v>2.2999999999999998</v>
      </c>
    </row>
    <row r="17" spans="3:5" x14ac:dyDescent="0.3">
      <c r="C17" s="3"/>
      <c r="D17" s="10"/>
      <c r="E17" s="10"/>
    </row>
    <row r="18" spans="3:5" x14ac:dyDescent="0.3">
      <c r="C18" s="55" t="s">
        <v>59</v>
      </c>
      <c r="D18" s="10"/>
      <c r="E18" s="10"/>
    </row>
    <row r="19" spans="3:5" x14ac:dyDescent="0.3">
      <c r="C19" s="26" t="s">
        <v>117</v>
      </c>
      <c r="D19" s="23">
        <v>1.5</v>
      </c>
      <c r="E19" s="23">
        <v>6.1</v>
      </c>
    </row>
    <row r="20" spans="3:5" x14ac:dyDescent="0.3">
      <c r="C20" s="26" t="s">
        <v>118</v>
      </c>
      <c r="D20" s="23">
        <v>-0.6</v>
      </c>
      <c r="E20" s="23">
        <v>-1.2</v>
      </c>
    </row>
    <row r="21" spans="3:5" x14ac:dyDescent="0.3">
      <c r="C21" s="119" t="s">
        <v>59</v>
      </c>
      <c r="D21" s="294">
        <f>SUM(D19:D20)</f>
        <v>0.9</v>
      </c>
      <c r="E21" s="294">
        <f>SUM(E19:E20)</f>
        <v>4.8999999999999995</v>
      </c>
    </row>
    <row r="22" spans="3:5" x14ac:dyDescent="0.3">
      <c r="C22" s="3"/>
      <c r="D22" s="10"/>
      <c r="E22" s="10"/>
    </row>
    <row r="23" spans="3:5" x14ac:dyDescent="0.3">
      <c r="C23" s="109" t="s">
        <v>119</v>
      </c>
      <c r="D23" s="24">
        <v>0</v>
      </c>
      <c r="E23" s="24">
        <v>0</v>
      </c>
    </row>
    <row r="24" spans="3:5" x14ac:dyDescent="0.3">
      <c r="C24" s="3"/>
      <c r="D24" s="10"/>
      <c r="E24" s="10"/>
    </row>
    <row r="25" spans="3:5" x14ac:dyDescent="0.3">
      <c r="C25" s="110" t="s">
        <v>202</v>
      </c>
      <c r="D25" s="278">
        <f>+D10+D16+D21+D23</f>
        <v>45.8</v>
      </c>
      <c r="E25" s="278">
        <f>+E10+E16+E21+E23</f>
        <v>77.100000000000009</v>
      </c>
    </row>
    <row r="26" spans="3:5" x14ac:dyDescent="0.3">
      <c r="C26" s="3"/>
      <c r="D26" s="5"/>
      <c r="E26" s="5"/>
    </row>
    <row r="27" spans="3:5" x14ac:dyDescent="0.3">
      <c r="C27" s="108" t="s">
        <v>115</v>
      </c>
      <c r="D27" s="23">
        <v>-4.0999999999999996</v>
      </c>
      <c r="E27" s="23">
        <v>-4.5999999999999996</v>
      </c>
    </row>
    <row r="28" spans="3:5" x14ac:dyDescent="0.3">
      <c r="C28" s="108" t="s">
        <v>116</v>
      </c>
      <c r="D28" s="23">
        <v>-1.1000000000000001</v>
      </c>
      <c r="E28" s="23">
        <v>-1.6</v>
      </c>
    </row>
    <row r="29" spans="3:5" x14ac:dyDescent="0.3">
      <c r="C29" s="5"/>
      <c r="D29" s="5"/>
      <c r="E29" s="5"/>
    </row>
    <row r="30" spans="3:5" x14ac:dyDescent="0.3">
      <c r="C30" s="110" t="s">
        <v>28</v>
      </c>
      <c r="D30" s="5"/>
      <c r="E30" s="5"/>
    </row>
    <row r="31" spans="3:5" x14ac:dyDescent="0.3">
      <c r="C31" s="26" t="s">
        <v>145</v>
      </c>
      <c r="D31" s="23">
        <v>0</v>
      </c>
      <c r="E31" s="23">
        <v>0</v>
      </c>
    </row>
    <row r="32" spans="3:5" x14ac:dyDescent="0.3">
      <c r="C32" s="26" t="s">
        <v>146</v>
      </c>
      <c r="D32" s="23">
        <v>-13.7</v>
      </c>
      <c r="E32" s="23">
        <v>-24.4</v>
      </c>
    </row>
    <row r="33" spans="3:5" x14ac:dyDescent="0.3">
      <c r="C33" s="26" t="s">
        <v>370</v>
      </c>
      <c r="D33" s="23">
        <v>0</v>
      </c>
      <c r="E33" s="23">
        <v>-0.1</v>
      </c>
    </row>
    <row r="34" spans="3:5" x14ac:dyDescent="0.3">
      <c r="C34" s="26" t="s">
        <v>174</v>
      </c>
      <c r="D34" s="23">
        <v>-0.4</v>
      </c>
      <c r="E34" s="23">
        <v>-0.7</v>
      </c>
    </row>
    <row r="35" spans="3:5" x14ac:dyDescent="0.3">
      <c r="C35" s="26" t="s">
        <v>148</v>
      </c>
      <c r="D35" s="23">
        <v>-0.1</v>
      </c>
      <c r="E35" s="23">
        <v>-0.3</v>
      </c>
    </row>
    <row r="36" spans="3:5" x14ac:dyDescent="0.3">
      <c r="C36" s="26" t="s">
        <v>149</v>
      </c>
      <c r="D36" s="23">
        <v>-0.3</v>
      </c>
      <c r="E36" s="23">
        <v>-0.3</v>
      </c>
    </row>
    <row r="37" spans="3:5" x14ac:dyDescent="0.3">
      <c r="C37" s="26" t="s">
        <v>150</v>
      </c>
      <c r="D37" s="23">
        <v>0</v>
      </c>
      <c r="E37" s="23">
        <v>0</v>
      </c>
    </row>
    <row r="38" spans="3:5" x14ac:dyDescent="0.3">
      <c r="C38" s="26" t="s">
        <v>369</v>
      </c>
      <c r="D38" s="23">
        <v>-0.6</v>
      </c>
      <c r="E38" s="23">
        <v>-4.2</v>
      </c>
    </row>
    <row r="39" spans="3:5" x14ac:dyDescent="0.3">
      <c r="C39" s="26" t="s">
        <v>151</v>
      </c>
      <c r="D39" s="249">
        <v>-12.1</v>
      </c>
      <c r="E39" s="249">
        <v>-16.2</v>
      </c>
    </row>
    <row r="40" spans="3:5" x14ac:dyDescent="0.3">
      <c r="C40" s="36" t="s">
        <v>29</v>
      </c>
      <c r="D40" s="278">
        <f>SUM(D31:D39)</f>
        <v>-27.2</v>
      </c>
      <c r="E40" s="278">
        <f>SUM(E31:E39)</f>
        <v>-46.2</v>
      </c>
    </row>
    <row r="41" spans="3:5" x14ac:dyDescent="0.3">
      <c r="C41" s="5"/>
      <c r="D41" s="5"/>
      <c r="E41" s="5"/>
    </row>
    <row r="42" spans="3:5" x14ac:dyDescent="0.3">
      <c r="C42" s="110" t="s">
        <v>120</v>
      </c>
      <c r="D42" s="278">
        <f>+D25+D27+D28+D40</f>
        <v>13.399999999999995</v>
      </c>
      <c r="E42" s="278">
        <f>+E25+E27+E28+E40</f>
        <v>24.700000000000017</v>
      </c>
    </row>
    <row r="43" spans="3:5" x14ac:dyDescent="0.3">
      <c r="C43" s="26" t="s">
        <v>224</v>
      </c>
      <c r="D43" s="249">
        <v>-3.5</v>
      </c>
      <c r="E43" s="249">
        <v>-5.9</v>
      </c>
    </row>
    <row r="44" spans="3:5" x14ac:dyDescent="0.3">
      <c r="C44" s="119" t="s">
        <v>30</v>
      </c>
      <c r="D44" s="278">
        <f>SUM(D42:D43)</f>
        <v>9.899999999999995</v>
      </c>
      <c r="E44" s="278">
        <f>SUM(E42:E43)</f>
        <v>18.800000000000018</v>
      </c>
    </row>
    <row r="46" spans="3:5" x14ac:dyDescent="0.3">
      <c r="C46" t="s">
        <v>372</v>
      </c>
      <c r="D46" s="78">
        <f>-D38</f>
        <v>0.6</v>
      </c>
      <c r="E46" s="78">
        <f>-E38</f>
        <v>4.2</v>
      </c>
    </row>
    <row r="47" spans="3:5" x14ac:dyDescent="0.3">
      <c r="C47" s="4" t="s">
        <v>371</v>
      </c>
      <c r="D47" s="297">
        <f>+D42+D46</f>
        <v>13.999999999999995</v>
      </c>
      <c r="E47" s="297">
        <f>+E42+E46</f>
        <v>28.900000000000016</v>
      </c>
    </row>
    <row r="49" spans="2:12" x14ac:dyDescent="0.3">
      <c r="C49" s="3" t="s">
        <v>72</v>
      </c>
      <c r="D49" s="295">
        <f>+D47*(1-D51)</f>
        <v>10.343283582089548</v>
      </c>
      <c r="E49" s="295">
        <f>+E47*(1-E51)</f>
        <v>21.996761133603258</v>
      </c>
      <c r="H49" s="315"/>
    </row>
    <row r="51" spans="2:12" x14ac:dyDescent="0.3">
      <c r="C51" t="s">
        <v>31</v>
      </c>
      <c r="D51" s="155">
        <f>-D43/D42</f>
        <v>0.26119402985074636</v>
      </c>
      <c r="E51" s="155">
        <f>-E43/E42</f>
        <v>0.23886639676113344</v>
      </c>
    </row>
    <row r="52" spans="2:12" x14ac:dyDescent="0.3">
      <c r="G52" s="4"/>
    </row>
    <row r="53" spans="2:12" x14ac:dyDescent="0.3">
      <c r="B53" s="21"/>
      <c r="C53" s="21"/>
      <c r="D53" s="68"/>
      <c r="E53" s="68"/>
      <c r="G53" s="21"/>
      <c r="H53" s="21"/>
      <c r="I53" s="21"/>
      <c r="J53" s="21"/>
      <c r="K53" s="21"/>
      <c r="L53" s="21"/>
    </row>
    <row r="54" spans="2:12" x14ac:dyDescent="0.3">
      <c r="B54" s="84" t="s">
        <v>401</v>
      </c>
      <c r="C54" s="84"/>
      <c r="D54" s="298" t="str">
        <f>+$D$6</f>
        <v>FY14 - 1H</v>
      </c>
      <c r="E54" s="298" t="str">
        <f>+$E$6</f>
        <v>FY15 - 1H</v>
      </c>
      <c r="G54" s="83" t="s">
        <v>363</v>
      </c>
      <c r="H54" s="83"/>
      <c r="I54" s="83"/>
      <c r="J54" s="83"/>
      <c r="K54" s="298" t="str">
        <f>+$D$6</f>
        <v>FY14 - 1H</v>
      </c>
      <c r="L54" s="298" t="str">
        <f>+$E$6</f>
        <v>FY15 - 1H</v>
      </c>
    </row>
    <row r="55" spans="2:12" x14ac:dyDescent="0.3">
      <c r="B55" s="188" t="s">
        <v>128</v>
      </c>
      <c r="C55" s="189"/>
      <c r="D55" s="189"/>
      <c r="E55" s="189"/>
      <c r="G55" s="41"/>
      <c r="H55" s="32"/>
    </row>
    <row r="56" spans="2:12" x14ac:dyDescent="0.3">
      <c r="C56" s="37" t="s">
        <v>63</v>
      </c>
      <c r="D56" s="44">
        <v>345.8</v>
      </c>
      <c r="E56" s="44">
        <v>238.1</v>
      </c>
      <c r="H56" s="39" t="s">
        <v>141</v>
      </c>
      <c r="K56" s="242">
        <f>+D85</f>
        <v>194.1</v>
      </c>
      <c r="L56" s="242">
        <f>+E85</f>
        <v>327.29999999999995</v>
      </c>
    </row>
    <row r="57" spans="2:12" x14ac:dyDescent="0.3">
      <c r="C57" s="37" t="s">
        <v>133</v>
      </c>
      <c r="D57" s="23">
        <v>15.3</v>
      </c>
      <c r="E57" s="23">
        <v>26</v>
      </c>
      <c r="H57" s="72" t="s">
        <v>260</v>
      </c>
      <c r="K57" s="248">
        <v>0</v>
      </c>
      <c r="L57" s="248">
        <v>0</v>
      </c>
    </row>
    <row r="58" spans="2:12" x14ac:dyDescent="0.3">
      <c r="C58" s="30" t="s">
        <v>134</v>
      </c>
      <c r="D58" s="23">
        <v>0</v>
      </c>
      <c r="E58" s="23">
        <v>0</v>
      </c>
      <c r="H58" s="243" t="s">
        <v>259</v>
      </c>
      <c r="I58" s="74"/>
      <c r="J58" s="74"/>
      <c r="K58" s="152">
        <f>-D66</f>
        <v>-46.9</v>
      </c>
      <c r="L58" s="152">
        <f>-E66</f>
        <v>-51.5</v>
      </c>
    </row>
    <row r="59" spans="2:12" x14ac:dyDescent="0.3">
      <c r="C59" s="37" t="s">
        <v>135</v>
      </c>
      <c r="D59" s="23">
        <v>0</v>
      </c>
      <c r="E59" s="23">
        <v>2.1</v>
      </c>
      <c r="H59" s="3" t="s">
        <v>261</v>
      </c>
      <c r="K59" s="177">
        <f>SUM(K56:K58)</f>
        <v>147.19999999999999</v>
      </c>
      <c r="L59" s="177">
        <f>SUM(L56:L58)</f>
        <v>275.79999999999995</v>
      </c>
    </row>
    <row r="60" spans="2:12" x14ac:dyDescent="0.3">
      <c r="C60" s="50"/>
      <c r="D60" s="23"/>
      <c r="E60" s="23"/>
      <c r="H60" s="31"/>
      <c r="K60" s="242"/>
      <c r="L60" s="242"/>
    </row>
    <row r="61" spans="2:12" x14ac:dyDescent="0.3">
      <c r="C61" s="55" t="s">
        <v>83</v>
      </c>
      <c r="D61" s="23">
        <v>1928.5</v>
      </c>
      <c r="E61" s="23">
        <v>2688.6</v>
      </c>
      <c r="F61" s="308"/>
      <c r="H61" s="39" t="s">
        <v>141</v>
      </c>
      <c r="K61" s="118">
        <f>+D85</f>
        <v>194.1</v>
      </c>
      <c r="L61" s="118">
        <f>+E85</f>
        <v>327.29999999999995</v>
      </c>
    </row>
    <row r="62" spans="2:12" x14ac:dyDescent="0.3">
      <c r="C62" s="50" t="s">
        <v>132</v>
      </c>
      <c r="D62" s="249">
        <v>-9</v>
      </c>
      <c r="E62" s="249">
        <v>-14.8</v>
      </c>
      <c r="H62" s="72" t="s">
        <v>260</v>
      </c>
      <c r="K62" s="248">
        <v>0</v>
      </c>
      <c r="L62" s="248">
        <v>0</v>
      </c>
    </row>
    <row r="63" spans="2:12" x14ac:dyDescent="0.3">
      <c r="C63" s="224" t="s">
        <v>17</v>
      </c>
      <c r="D63" s="229">
        <f>SUM(D61:D62)</f>
        <v>1919.5</v>
      </c>
      <c r="E63" s="229">
        <f>SUM(E61:E62)</f>
        <v>2673.7999999999997</v>
      </c>
      <c r="H63" s="243" t="s">
        <v>259</v>
      </c>
      <c r="I63" s="74"/>
      <c r="J63" s="74"/>
      <c r="K63" s="152">
        <f>-D66</f>
        <v>-46.9</v>
      </c>
      <c r="L63" s="152">
        <f>-E66</f>
        <v>-51.5</v>
      </c>
    </row>
    <row r="64" spans="2:12" x14ac:dyDescent="0.3">
      <c r="C64" s="299"/>
      <c r="D64" s="23"/>
      <c r="E64" s="23"/>
      <c r="H64" s="39" t="s">
        <v>251</v>
      </c>
      <c r="K64" s="177">
        <f>SUM(K61:K63)</f>
        <v>147.19999999999999</v>
      </c>
      <c r="L64" s="177">
        <f>SUM(L61:L63)</f>
        <v>275.79999999999995</v>
      </c>
    </row>
    <row r="65" spans="2:12" x14ac:dyDescent="0.3">
      <c r="C65" s="37" t="s">
        <v>131</v>
      </c>
      <c r="D65" s="23">
        <v>51.8</v>
      </c>
      <c r="E65" s="23">
        <v>47.5</v>
      </c>
      <c r="H65" s="243" t="s">
        <v>252</v>
      </c>
      <c r="I65" s="74"/>
      <c r="J65" s="74"/>
      <c r="K65" s="244">
        <v>0</v>
      </c>
      <c r="L65" s="244">
        <v>0</v>
      </c>
    </row>
    <row r="66" spans="2:12" x14ac:dyDescent="0.3">
      <c r="C66" s="37" t="s">
        <v>18</v>
      </c>
      <c r="D66" s="23">
        <v>46.9</v>
      </c>
      <c r="E66" s="23">
        <v>51.5</v>
      </c>
      <c r="H66" s="3" t="s">
        <v>42</v>
      </c>
      <c r="K66" s="177">
        <f t="shared" ref="K66:L66" si="0">SUM(K64:K65)</f>
        <v>147.19999999999999</v>
      </c>
      <c r="L66" s="177">
        <f t="shared" si="0"/>
        <v>275.79999999999995</v>
      </c>
    </row>
    <row r="67" spans="2:12" x14ac:dyDescent="0.3">
      <c r="C67" s="37" t="s">
        <v>130</v>
      </c>
      <c r="D67" s="23">
        <v>9.5</v>
      </c>
      <c r="E67" s="23">
        <v>10.6</v>
      </c>
      <c r="H67" s="252" t="s">
        <v>43</v>
      </c>
      <c r="K67" s="254" t="str">
        <f>IFERROR(+K66/J66-1,"N/A")</f>
        <v>N/A</v>
      </c>
      <c r="L67" s="254">
        <f>IFERROR(+L66/K66-1,"N/A")</f>
        <v>0.87364130434782594</v>
      </c>
    </row>
    <row r="68" spans="2:12" x14ac:dyDescent="0.3">
      <c r="C68" s="37" t="s">
        <v>19</v>
      </c>
      <c r="D68" s="23">
        <v>6</v>
      </c>
      <c r="E68" s="23">
        <v>7.5</v>
      </c>
      <c r="H68" s="32"/>
      <c r="K68" s="34"/>
      <c r="L68" s="34"/>
    </row>
    <row r="69" spans="2:12" x14ac:dyDescent="0.3">
      <c r="C69" s="26"/>
      <c r="D69" s="23"/>
      <c r="E69" s="23"/>
      <c r="H69" s="39" t="s">
        <v>44</v>
      </c>
      <c r="K69" s="34"/>
      <c r="L69" s="34"/>
    </row>
    <row r="70" spans="2:12" x14ac:dyDescent="0.3">
      <c r="C70" s="3" t="s">
        <v>20</v>
      </c>
      <c r="D70" s="295">
        <f t="shared" ref="D70:E70" si="1">SUM(D56:D59)+D63+SUM(D65:D68)</f>
        <v>2394.7999999999997</v>
      </c>
      <c r="E70" s="295">
        <f t="shared" si="1"/>
        <v>3057.1</v>
      </c>
      <c r="H70" s="75" t="s">
        <v>253</v>
      </c>
      <c r="K70" s="248">
        <v>0</v>
      </c>
      <c r="L70" s="248">
        <v>0</v>
      </c>
    </row>
    <row r="71" spans="2:12" x14ac:dyDescent="0.3">
      <c r="C71" s="3"/>
      <c r="D71" s="295"/>
      <c r="E71" s="295"/>
      <c r="H71" s="247" t="s">
        <v>254</v>
      </c>
      <c r="K71" s="128">
        <f>+D76</f>
        <v>29.1</v>
      </c>
      <c r="L71" s="128">
        <f>+E76</f>
        <v>32.5</v>
      </c>
    </row>
    <row r="72" spans="2:12" x14ac:dyDescent="0.3">
      <c r="B72" s="188" t="s">
        <v>129</v>
      </c>
      <c r="C72" s="189"/>
      <c r="D72" s="189"/>
      <c r="E72" s="189"/>
      <c r="H72" s="198" t="s">
        <v>255</v>
      </c>
      <c r="I72" s="74"/>
      <c r="J72" s="74"/>
      <c r="K72" s="249">
        <v>2.2999999999999998</v>
      </c>
      <c r="L72" s="249">
        <v>3</v>
      </c>
    </row>
    <row r="73" spans="2:12" x14ac:dyDescent="0.3">
      <c r="C73" s="3" t="s">
        <v>21</v>
      </c>
      <c r="H73" s="3" t="s">
        <v>256</v>
      </c>
      <c r="K73" s="177">
        <f>SUM(K70:K72)</f>
        <v>31.400000000000002</v>
      </c>
      <c r="L73" s="177">
        <f>SUM(L70:L72)</f>
        <v>35.5</v>
      </c>
    </row>
    <row r="74" spans="2:12" x14ac:dyDescent="0.3">
      <c r="C74" s="50" t="s">
        <v>57</v>
      </c>
      <c r="D74" s="44">
        <v>2110.4</v>
      </c>
      <c r="E74" s="44">
        <v>2620.6</v>
      </c>
      <c r="H74" s="252" t="s">
        <v>43</v>
      </c>
      <c r="K74" s="254" t="str">
        <f>IFERROR(+K73/J73-1,"N/A")</f>
        <v>N/A</v>
      </c>
      <c r="L74" s="254">
        <f>IFERROR(+L73/K73-1,"N/A")</f>
        <v>0.13057324840764317</v>
      </c>
    </row>
    <row r="75" spans="2:12" x14ac:dyDescent="0.3">
      <c r="C75" s="50" t="s">
        <v>136</v>
      </c>
      <c r="D75" s="23">
        <v>24.7</v>
      </c>
      <c r="E75" s="23">
        <v>39</v>
      </c>
      <c r="H75" s="31"/>
      <c r="K75" s="15"/>
      <c r="L75" s="15"/>
    </row>
    <row r="76" spans="2:12" x14ac:dyDescent="0.3">
      <c r="C76" s="50" t="s">
        <v>196</v>
      </c>
      <c r="D76" s="23">
        <v>29.1</v>
      </c>
      <c r="E76" s="23">
        <v>32.5</v>
      </c>
      <c r="H76" s="3" t="s">
        <v>258</v>
      </c>
      <c r="K76" s="177">
        <f>+K66+K73</f>
        <v>178.6</v>
      </c>
      <c r="L76" s="177">
        <f>+L66+L73</f>
        <v>311.29999999999995</v>
      </c>
    </row>
    <row r="77" spans="2:12" x14ac:dyDescent="0.3">
      <c r="C77" s="50" t="s">
        <v>135</v>
      </c>
      <c r="D77" s="23">
        <v>0</v>
      </c>
      <c r="E77" s="23">
        <v>0</v>
      </c>
      <c r="H77" s="252" t="s">
        <v>43</v>
      </c>
      <c r="K77" s="254" t="str">
        <f>IFERROR(+K76/J76-1,"N/A")</f>
        <v>N/A</v>
      </c>
      <c r="L77" s="254">
        <f>IFERROR(+L76/K76-1,"N/A")</f>
        <v>0.74300111982082839</v>
      </c>
    </row>
    <row r="78" spans="2:12" x14ac:dyDescent="0.3">
      <c r="C78" s="50" t="s">
        <v>58</v>
      </c>
      <c r="D78" s="23">
        <v>36.5</v>
      </c>
      <c r="E78" s="23">
        <v>37.700000000000003</v>
      </c>
    </row>
    <row r="79" spans="2:12" x14ac:dyDescent="0.3">
      <c r="C79" s="77" t="s">
        <v>23</v>
      </c>
      <c r="D79" s="153">
        <f>SUM(D74:D78)</f>
        <v>2200.6999999999998</v>
      </c>
      <c r="E79" s="153">
        <f>SUM(E74:E78)</f>
        <v>2729.7999999999997</v>
      </c>
      <c r="H79" s="37" t="s">
        <v>230</v>
      </c>
      <c r="K79" s="23">
        <v>1231.4000000000001</v>
      </c>
      <c r="L79" s="23">
        <v>1813.1</v>
      </c>
    </row>
    <row r="80" spans="2:12" x14ac:dyDescent="0.3">
      <c r="H80" s="252" t="s">
        <v>265</v>
      </c>
      <c r="K80" s="88">
        <f>+K79/(D61+D57+D58+D59)</f>
        <v>0.63350138903179343</v>
      </c>
      <c r="L80" s="88">
        <f>+L79/(E61+E57+E58+E59)</f>
        <v>0.6673905841646115</v>
      </c>
    </row>
    <row r="81" spans="2:12" x14ac:dyDescent="0.3">
      <c r="C81" s="3" t="s">
        <v>140</v>
      </c>
      <c r="D81" s="5"/>
      <c r="E81" s="5"/>
      <c r="H81" s="252" t="s">
        <v>45</v>
      </c>
      <c r="K81" s="254" t="str">
        <f>IFERROR(+K79/J79-1,"N/A")</f>
        <v>N/A</v>
      </c>
      <c r="L81" s="254">
        <f>IFERROR(+L79/K79-1,"N/A")</f>
        <v>0.4723891505603377</v>
      </c>
    </row>
    <row r="82" spans="2:12" x14ac:dyDescent="0.3">
      <c r="C82" s="50" t="s">
        <v>138</v>
      </c>
      <c r="D82" s="23">
        <v>186.6</v>
      </c>
      <c r="E82" s="23">
        <f>2.5+183.1+87.3</f>
        <v>272.89999999999998</v>
      </c>
      <c r="H82" s="5"/>
      <c r="K82" s="5"/>
      <c r="L82" s="5"/>
    </row>
    <row r="83" spans="2:12" x14ac:dyDescent="0.3">
      <c r="C83" s="50" t="s">
        <v>137</v>
      </c>
      <c r="D83" s="23">
        <v>0</v>
      </c>
      <c r="E83" s="23">
        <v>0</v>
      </c>
      <c r="H83" s="3" t="s">
        <v>262</v>
      </c>
      <c r="K83" s="16">
        <f>+K64/K79</f>
        <v>0.11953873639759621</v>
      </c>
      <c r="L83" s="16">
        <f>+L64/L79</f>
        <v>0.15211516187744745</v>
      </c>
    </row>
    <row r="84" spans="2:12" x14ac:dyDescent="0.3">
      <c r="C84" s="50" t="s">
        <v>24</v>
      </c>
      <c r="D84" s="23">
        <v>7.5</v>
      </c>
      <c r="E84" s="23">
        <v>54.4</v>
      </c>
      <c r="H84" s="3" t="s">
        <v>263</v>
      </c>
      <c r="K84" s="16">
        <f>+K66/K79</f>
        <v>0.11953873639759621</v>
      </c>
      <c r="L84" s="16">
        <f>+L66/L79</f>
        <v>0.15211516187744745</v>
      </c>
    </row>
    <row r="85" spans="2:12" x14ac:dyDescent="0.3">
      <c r="C85" s="77" t="s">
        <v>141</v>
      </c>
      <c r="D85" s="153">
        <f>SUM(D82:D84)</f>
        <v>194.1</v>
      </c>
      <c r="E85" s="153">
        <f>SUM(E82:E84)</f>
        <v>327.29999999999995</v>
      </c>
      <c r="H85" s="3" t="s">
        <v>47</v>
      </c>
      <c r="K85" s="16">
        <f>+K76/K79</f>
        <v>0.14503816793893129</v>
      </c>
      <c r="L85" s="16">
        <f>+L76/L79</f>
        <v>0.17169488720975123</v>
      </c>
    </row>
    <row r="86" spans="2:12" x14ac:dyDescent="0.3">
      <c r="H86" s="3" t="s">
        <v>266</v>
      </c>
      <c r="K86" s="67">
        <v>6.3E-2</v>
      </c>
      <c r="L86" s="67">
        <v>9.1999999999999998E-2</v>
      </c>
    </row>
    <row r="87" spans="2:12" x14ac:dyDescent="0.3">
      <c r="C87" s="3" t="s">
        <v>139</v>
      </c>
      <c r="D87" s="295">
        <f>+D85+D79</f>
        <v>2394.7999999999997</v>
      </c>
      <c r="E87" s="295">
        <f>+E85+E79</f>
        <v>3057.0999999999995</v>
      </c>
      <c r="H87" s="3" t="s">
        <v>264</v>
      </c>
      <c r="K87" s="16">
        <f>+K59/(+D70-D66)</f>
        <v>6.2694322586140813E-2</v>
      </c>
      <c r="L87" s="16">
        <f>+L59/(+E70-E66)</f>
        <v>9.1762044184189498E-2</v>
      </c>
    </row>
    <row r="88" spans="2:12" x14ac:dyDescent="0.3">
      <c r="H88" s="3"/>
      <c r="K88" s="229"/>
      <c r="L88" s="229"/>
    </row>
    <row r="89" spans="2:12" x14ac:dyDescent="0.3">
      <c r="C89" s="5" t="s">
        <v>25</v>
      </c>
      <c r="D89" s="190">
        <f>+D70-D87</f>
        <v>0</v>
      </c>
      <c r="E89" s="190">
        <f>+E70-E87</f>
        <v>0</v>
      </c>
      <c r="H89" s="3" t="s">
        <v>229</v>
      </c>
      <c r="K89" s="67">
        <v>3.2</v>
      </c>
      <c r="L89" s="67">
        <v>3.98</v>
      </c>
    </row>
    <row r="90" spans="2:12" x14ac:dyDescent="0.3">
      <c r="H90" s="53" t="s">
        <v>228</v>
      </c>
      <c r="K90" s="67">
        <v>1.1499999999999999</v>
      </c>
      <c r="L90" s="67">
        <v>1.1599999999999999</v>
      </c>
    </row>
    <row r="91" spans="2:12" x14ac:dyDescent="0.3">
      <c r="B91" s="21"/>
      <c r="C91" s="21"/>
      <c r="D91" s="68"/>
      <c r="E91" s="68"/>
    </row>
    <row r="92" spans="2:12" x14ac:dyDescent="0.3">
      <c r="B92" s="84" t="s">
        <v>400</v>
      </c>
      <c r="C92" s="84"/>
      <c r="D92" s="298" t="str">
        <f>+$D$6</f>
        <v>FY14 - 1H</v>
      </c>
      <c r="E92" s="298" t="str">
        <f>+$E$6</f>
        <v>FY15 - 1H</v>
      </c>
      <c r="H92" s="53" t="s">
        <v>395</v>
      </c>
      <c r="K92" s="177">
        <f>+K64-K79*Min_CET_1</f>
        <v>-12.882000000000033</v>
      </c>
      <c r="L92" s="177">
        <f>+L64-L79*Min_CET_1</f>
        <v>40.096999999999952</v>
      </c>
    </row>
    <row r="93" spans="2:12" x14ac:dyDescent="0.3">
      <c r="C93" s="110" t="s">
        <v>32</v>
      </c>
      <c r="D93" s="5"/>
      <c r="E93" s="5"/>
      <c r="H93" s="5"/>
      <c r="K93" s="15"/>
    </row>
    <row r="94" spans="2:12" x14ac:dyDescent="0.3">
      <c r="C94" s="55" t="s">
        <v>30</v>
      </c>
      <c r="D94" s="295">
        <f>D44</f>
        <v>9.899999999999995</v>
      </c>
      <c r="E94" s="295">
        <f>E44</f>
        <v>18.800000000000018</v>
      </c>
      <c r="H94" s="5"/>
      <c r="K94" s="5"/>
    </row>
    <row r="95" spans="2:12" x14ac:dyDescent="0.3">
      <c r="C95" s="50" t="s">
        <v>192</v>
      </c>
      <c r="D95" s="52">
        <f>-D43</f>
        <v>3.5</v>
      </c>
      <c r="E95" s="52">
        <f>-E43</f>
        <v>5.9</v>
      </c>
    </row>
    <row r="96" spans="2:12" x14ac:dyDescent="0.3">
      <c r="C96" s="50" t="s">
        <v>168</v>
      </c>
      <c r="D96" s="23">
        <v>1.9</v>
      </c>
      <c r="E96" s="23">
        <v>-6</v>
      </c>
    </row>
    <row r="97" spans="3:8" x14ac:dyDescent="0.3">
      <c r="C97" s="31" t="s">
        <v>143</v>
      </c>
      <c r="D97" s="23"/>
      <c r="E97" s="23"/>
    </row>
    <row r="98" spans="3:8" x14ac:dyDescent="0.3">
      <c r="C98" s="50" t="s">
        <v>152</v>
      </c>
      <c r="D98" s="52">
        <f>+D34-D15</f>
        <v>6.1</v>
      </c>
      <c r="E98" s="52">
        <f>+E34-E15</f>
        <v>5.5</v>
      </c>
    </row>
    <row r="99" spans="3:8" x14ac:dyDescent="0.3">
      <c r="C99" s="50" t="s">
        <v>153</v>
      </c>
      <c r="D99" s="11">
        <f>-D35</f>
        <v>0.1</v>
      </c>
      <c r="E99" s="11">
        <f>-E35</f>
        <v>0.3</v>
      </c>
    </row>
    <row r="100" spans="3:8" x14ac:dyDescent="0.3">
      <c r="C100" s="50" t="s">
        <v>104</v>
      </c>
      <c r="D100" s="11">
        <f>-D27</f>
        <v>4.0999999999999996</v>
      </c>
      <c r="E100" s="11">
        <f>-E27</f>
        <v>4.5999999999999996</v>
      </c>
      <c r="G100" s="4"/>
      <c r="H100" s="50"/>
    </row>
    <row r="101" spans="3:8" x14ac:dyDescent="0.3">
      <c r="C101" s="50" t="s">
        <v>154</v>
      </c>
      <c r="D101" s="23">
        <v>1.5</v>
      </c>
      <c r="E101" s="23">
        <v>1.7</v>
      </c>
      <c r="G101" s="4"/>
      <c r="H101" s="50"/>
    </row>
    <row r="102" spans="3:8" x14ac:dyDescent="0.3">
      <c r="C102" s="50" t="s">
        <v>374</v>
      </c>
      <c r="D102" s="11">
        <f>-D33</f>
        <v>0</v>
      </c>
      <c r="E102" s="11">
        <f>-E33</f>
        <v>0.1</v>
      </c>
      <c r="G102" s="4"/>
      <c r="H102" s="50"/>
    </row>
    <row r="103" spans="3:8" x14ac:dyDescent="0.3">
      <c r="C103" s="50" t="s">
        <v>172</v>
      </c>
      <c r="D103" s="11">
        <f>-D23</f>
        <v>0</v>
      </c>
      <c r="E103" s="11">
        <f>-E23</f>
        <v>0</v>
      </c>
      <c r="G103" s="4"/>
      <c r="H103" s="50"/>
    </row>
    <row r="104" spans="3:8" x14ac:dyDescent="0.3">
      <c r="C104" s="26" t="s">
        <v>375</v>
      </c>
      <c r="D104" s="11">
        <f>12.4-SUM(D98:D103)</f>
        <v>0.60000000000000142</v>
      </c>
      <c r="E104" s="11">
        <f>16.4-SUM(E98:E103)</f>
        <v>4.2000000000000011</v>
      </c>
      <c r="G104" s="4"/>
      <c r="H104" s="50"/>
    </row>
    <row r="105" spans="3:8" x14ac:dyDescent="0.3">
      <c r="C105" s="55" t="s">
        <v>167</v>
      </c>
      <c r="D105" s="43"/>
      <c r="E105" s="43"/>
      <c r="G105" s="4"/>
      <c r="H105" s="50"/>
    </row>
    <row r="106" spans="3:8" x14ac:dyDescent="0.3">
      <c r="C106" s="50" t="s">
        <v>134</v>
      </c>
      <c r="D106" s="23">
        <v>0</v>
      </c>
      <c r="E106" s="23">
        <v>0</v>
      </c>
      <c r="H106" s="50"/>
    </row>
    <row r="107" spans="3:8" x14ac:dyDescent="0.3">
      <c r="C107" s="50" t="s">
        <v>169</v>
      </c>
      <c r="D107" s="23">
        <v>-0.3</v>
      </c>
      <c r="E107" s="23">
        <v>-0.3</v>
      </c>
    </row>
    <row r="108" spans="3:8" x14ac:dyDescent="0.3">
      <c r="C108" s="50" t="s">
        <v>170</v>
      </c>
      <c r="D108" s="23">
        <v>-381.1</v>
      </c>
      <c r="E108" s="23">
        <v>-393.4</v>
      </c>
    </row>
    <row r="109" spans="3:8" x14ac:dyDescent="0.3">
      <c r="C109" s="50" t="s">
        <v>171</v>
      </c>
      <c r="D109" s="23">
        <v>0</v>
      </c>
      <c r="E109" s="23">
        <v>1.6</v>
      </c>
    </row>
    <row r="110" spans="3:8" x14ac:dyDescent="0.3">
      <c r="C110" s="50" t="s">
        <v>19</v>
      </c>
      <c r="D110" s="23">
        <v>0.9</v>
      </c>
      <c r="E110" s="23">
        <v>-0.7</v>
      </c>
    </row>
    <row r="111" spans="3:8" x14ac:dyDescent="0.3">
      <c r="C111" s="50" t="s">
        <v>57</v>
      </c>
      <c r="D111" s="23">
        <v>647.5</v>
      </c>
      <c r="E111" s="23">
        <v>199.6</v>
      </c>
    </row>
    <row r="112" spans="3:8" x14ac:dyDescent="0.3">
      <c r="C112" s="65" t="s">
        <v>58</v>
      </c>
      <c r="D112" s="249">
        <v>8.3000000000000007</v>
      </c>
      <c r="E112" s="249">
        <v>-5.9</v>
      </c>
      <c r="G112" s="23"/>
    </row>
    <row r="113" spans="3:8" x14ac:dyDescent="0.3">
      <c r="C113" s="109" t="s">
        <v>33</v>
      </c>
      <c r="D113" s="162">
        <f>SUM(D94:D112)</f>
        <v>302.99999999999994</v>
      </c>
      <c r="E113" s="162">
        <f>SUM(E94:E112)</f>
        <v>-163.99999999999994</v>
      </c>
      <c r="G113" s="23"/>
    </row>
    <row r="114" spans="3:8" x14ac:dyDescent="0.3">
      <c r="C114" s="26"/>
      <c r="D114" s="5"/>
      <c r="E114" s="5"/>
      <c r="G114" s="4"/>
    </row>
    <row r="115" spans="3:8" x14ac:dyDescent="0.3">
      <c r="C115" s="110" t="s">
        <v>34</v>
      </c>
      <c r="D115" s="5"/>
      <c r="E115" s="5"/>
      <c r="G115" s="4"/>
    </row>
    <row r="116" spans="3:8" x14ac:dyDescent="0.3">
      <c r="C116" s="50" t="s">
        <v>155</v>
      </c>
      <c r="D116" s="23">
        <v>-5.6</v>
      </c>
      <c r="E116" s="23">
        <v>-6.1</v>
      </c>
      <c r="G116" s="4"/>
      <c r="H116" s="101"/>
    </row>
    <row r="117" spans="3:8" x14ac:dyDescent="0.3">
      <c r="C117" s="50" t="s">
        <v>158</v>
      </c>
      <c r="D117" s="23">
        <v>1.2</v>
      </c>
      <c r="E117" s="23">
        <v>2.1</v>
      </c>
      <c r="G117" s="4"/>
      <c r="H117" s="110"/>
    </row>
    <row r="118" spans="3:8" x14ac:dyDescent="0.3">
      <c r="C118" s="50" t="s">
        <v>156</v>
      </c>
      <c r="D118" s="23">
        <v>-1.1000000000000001</v>
      </c>
      <c r="E118" s="23">
        <v>-2.2999999999999998</v>
      </c>
      <c r="G118" s="4"/>
      <c r="H118" s="50"/>
    </row>
    <row r="119" spans="3:8" x14ac:dyDescent="0.3">
      <c r="C119" s="50" t="s">
        <v>157</v>
      </c>
      <c r="D119" s="23">
        <v>-76.3</v>
      </c>
      <c r="E119" s="23">
        <v>0</v>
      </c>
      <c r="G119" s="4"/>
      <c r="H119" s="50"/>
    </row>
    <row r="120" spans="3:8" x14ac:dyDescent="0.3">
      <c r="C120" s="168" t="s">
        <v>35</v>
      </c>
      <c r="D120" s="12">
        <f>SUM(D116:D119)</f>
        <v>-81.8</v>
      </c>
      <c r="E120" s="12">
        <f>SUM(E116:E119)</f>
        <v>-6.2999999999999989</v>
      </c>
      <c r="G120" s="4"/>
      <c r="H120" s="50"/>
    </row>
    <row r="121" spans="3:8" x14ac:dyDescent="0.3">
      <c r="G121" s="4"/>
      <c r="H121" s="50"/>
    </row>
    <row r="122" spans="3:8" x14ac:dyDescent="0.3">
      <c r="C122" s="3" t="s">
        <v>36</v>
      </c>
      <c r="D122" s="5"/>
      <c r="E122" s="5"/>
      <c r="G122" s="4"/>
      <c r="H122" s="109"/>
    </row>
    <row r="123" spans="3:8" x14ac:dyDescent="0.3">
      <c r="C123" s="50" t="s">
        <v>195</v>
      </c>
      <c r="D123" s="23">
        <v>0.1</v>
      </c>
      <c r="E123" s="23">
        <v>-2</v>
      </c>
      <c r="G123" s="4"/>
      <c r="H123" s="109"/>
    </row>
    <row r="124" spans="3:8" x14ac:dyDescent="0.3">
      <c r="C124" s="50" t="s">
        <v>221</v>
      </c>
      <c r="D124" s="23">
        <v>0</v>
      </c>
      <c r="E124" s="23">
        <v>0</v>
      </c>
      <c r="G124" s="4"/>
      <c r="H124" s="50"/>
    </row>
    <row r="125" spans="3:8" x14ac:dyDescent="0.3">
      <c r="C125" s="50" t="s">
        <v>159</v>
      </c>
      <c r="D125" s="23">
        <v>-138.19999999999999</v>
      </c>
      <c r="E125" s="23">
        <v>0</v>
      </c>
      <c r="G125" s="4"/>
      <c r="H125" s="50"/>
    </row>
    <row r="126" spans="3:8" x14ac:dyDescent="0.3">
      <c r="C126" s="50" t="s">
        <v>199</v>
      </c>
      <c r="D126" s="23">
        <v>0</v>
      </c>
      <c r="E126" s="23">
        <v>0</v>
      </c>
      <c r="G126" s="4"/>
      <c r="H126" s="50"/>
    </row>
    <row r="127" spans="3:8" x14ac:dyDescent="0.3">
      <c r="C127" s="50" t="s">
        <v>160</v>
      </c>
      <c r="D127" s="23">
        <v>47.3</v>
      </c>
      <c r="E127" s="23">
        <v>86.3</v>
      </c>
      <c r="G127" s="4"/>
      <c r="H127" s="50"/>
    </row>
    <row r="128" spans="3:8" x14ac:dyDescent="0.3">
      <c r="C128" s="50" t="s">
        <v>161</v>
      </c>
      <c r="D128" s="23">
        <v>0</v>
      </c>
      <c r="E128" s="23">
        <v>0</v>
      </c>
      <c r="G128" s="4"/>
      <c r="H128" s="50"/>
    </row>
    <row r="129" spans="3:8" x14ac:dyDescent="0.3">
      <c r="C129" s="51" t="s">
        <v>37</v>
      </c>
      <c r="D129" s="13">
        <f>SUM(D123:D128)</f>
        <v>-90.8</v>
      </c>
      <c r="E129" s="13">
        <f>SUM(E123:E128)</f>
        <v>84.3</v>
      </c>
      <c r="G129" s="4"/>
      <c r="H129" s="50"/>
    </row>
    <row r="130" spans="3:8" x14ac:dyDescent="0.3">
      <c r="C130" s="5"/>
      <c r="D130" s="5"/>
      <c r="E130" s="5"/>
      <c r="G130" s="4"/>
      <c r="H130" s="62"/>
    </row>
    <row r="131" spans="3:8" x14ac:dyDescent="0.3">
      <c r="C131" s="109" t="s">
        <v>162</v>
      </c>
      <c r="D131" s="300">
        <f>+D113+D120+D129</f>
        <v>130.39999999999992</v>
      </c>
      <c r="E131" s="300">
        <f>+E113+E120+E129</f>
        <v>-85.999999999999957</v>
      </c>
      <c r="G131" s="4"/>
      <c r="H131" s="62"/>
    </row>
    <row r="132" spans="3:8" x14ac:dyDescent="0.3">
      <c r="C132" s="5"/>
      <c r="D132" s="5"/>
      <c r="E132" s="5"/>
      <c r="G132" s="4"/>
      <c r="H132" s="62"/>
    </row>
    <row r="133" spans="3:8" x14ac:dyDescent="0.3">
      <c r="C133" s="37" t="s">
        <v>38</v>
      </c>
      <c r="D133" s="23">
        <v>229.7</v>
      </c>
      <c r="E133" s="23">
        <v>348</v>
      </c>
      <c r="H133" s="62"/>
    </row>
    <row r="134" spans="3:8" x14ac:dyDescent="0.3">
      <c r="C134" s="109" t="s">
        <v>39</v>
      </c>
      <c r="D134" s="301">
        <f>+D131+D133</f>
        <v>360.09999999999991</v>
      </c>
      <c r="E134" s="301">
        <f>+E131+E133</f>
        <v>262.00000000000006</v>
      </c>
      <c r="H134" s="62"/>
    </row>
    <row r="135" spans="3:8" x14ac:dyDescent="0.3">
      <c r="C135" s="108"/>
      <c r="H135" s="62"/>
    </row>
    <row r="136" spans="3:8" x14ac:dyDescent="0.3">
      <c r="C136" s="108" t="s">
        <v>41</v>
      </c>
      <c r="D136" s="11">
        <f>+D56+D57</f>
        <v>361.1</v>
      </c>
      <c r="E136" s="11">
        <f>+E56+E57</f>
        <v>264.10000000000002</v>
      </c>
      <c r="H136" s="62"/>
    </row>
    <row r="137" spans="3:8" x14ac:dyDescent="0.3">
      <c r="C137" s="65" t="s">
        <v>163</v>
      </c>
      <c r="D137" s="302">
        <f>+'Op-Model'!H347+D107</f>
        <v>-1</v>
      </c>
      <c r="E137" s="302">
        <f>+'Op-Model'!I347+E107</f>
        <v>-2</v>
      </c>
      <c r="H137" s="62"/>
    </row>
    <row r="138" spans="3:8" x14ac:dyDescent="0.3">
      <c r="C138" s="109" t="s">
        <v>164</v>
      </c>
      <c r="D138" s="296">
        <f>SUM(D136:D137)</f>
        <v>360.1</v>
      </c>
      <c r="E138" s="296">
        <f>SUM(E136:E137)</f>
        <v>262.10000000000002</v>
      </c>
      <c r="H138" s="62"/>
    </row>
    <row r="139" spans="3:8" x14ac:dyDescent="0.3">
      <c r="C139" s="108"/>
      <c r="H139" s="109"/>
    </row>
    <row r="140" spans="3:8" x14ac:dyDescent="0.3">
      <c r="C140" s="108" t="s">
        <v>165</v>
      </c>
      <c r="D140" s="160">
        <f>+D134-D138</f>
        <v>0</v>
      </c>
      <c r="E140" s="160">
        <f>+E134-E138</f>
        <v>-9.9999999999965894E-2</v>
      </c>
      <c r="H140" s="108"/>
    </row>
    <row r="141" spans="3:8" x14ac:dyDescent="0.3">
      <c r="C141" s="3"/>
      <c r="D141" s="3"/>
      <c r="E141" s="295"/>
      <c r="G141" s="4"/>
    </row>
    <row r="142" spans="3:8" x14ac:dyDescent="0.3">
      <c r="G142" s="4"/>
      <c r="H142" s="108"/>
    </row>
    <row r="143" spans="3:8" x14ac:dyDescent="0.3">
      <c r="G143" s="4"/>
    </row>
    <row r="144" spans="3:8" x14ac:dyDescent="0.3">
      <c r="G144" s="4"/>
    </row>
    <row r="145" spans="6:7" x14ac:dyDescent="0.3">
      <c r="F145" s="57"/>
      <c r="G145" s="4"/>
    </row>
    <row r="146" spans="6:7" x14ac:dyDescent="0.3">
      <c r="G146" s="4"/>
    </row>
    <row r="147" spans="6:7" x14ac:dyDescent="0.3">
      <c r="G147" s="4"/>
    </row>
    <row r="148" spans="6:7" x14ac:dyDescent="0.3">
      <c r="G148" s="4"/>
    </row>
    <row r="149" spans="6:7" x14ac:dyDescent="0.3">
      <c r="G149" s="4"/>
    </row>
    <row r="150" spans="6:7" x14ac:dyDescent="0.3">
      <c r="G150" s="4"/>
    </row>
  </sheetData>
  <pageMargins left="0.7" right="0.7" top="0.75" bottom="0.75" header="0.3" footer="0.3"/>
  <pageSetup scale="90" orientation="portrait" r:id="rId1"/>
  <rowBreaks count="2" manualBreakCount="2">
    <brk id="52" max="11" man="1"/>
    <brk id="90" max="16383" man="1"/>
  </rowBreaks>
  <colBreaks count="1" manualBreakCount="1">
    <brk id="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2:N60"/>
  <sheetViews>
    <sheetView showGridLines="0" zoomScaleNormal="100" workbookViewId="0">
      <selection activeCell="B2" sqref="B2"/>
    </sheetView>
  </sheetViews>
  <sheetFormatPr defaultColWidth="8.77734375" defaultRowHeight="14.4" x14ac:dyDescent="0.3"/>
  <cols>
    <col min="1" max="2" width="2.77734375" style="4" customWidth="1"/>
    <col min="3" max="3" width="40.6640625" style="5" customWidth="1"/>
    <col min="4" max="14" width="11.5546875" style="5" customWidth="1"/>
    <col min="15" max="15" width="2.77734375" style="4" customWidth="1"/>
    <col min="16" max="16384" width="8.77734375" style="4"/>
  </cols>
  <sheetData>
    <row r="2" spans="2:14" x14ac:dyDescent="0.3">
      <c r="B2" s="39" t="str">
        <f>Company_Name&amp;" - Summary of Model and Regulatory Capital - "&amp;Scenario&amp;" Case"</f>
        <v>Shawbrook Group PLC - Summary of Model and Regulatory Capital - Base Case</v>
      </c>
    </row>
    <row r="3" spans="2:14" x14ac:dyDescent="0.3">
      <c r="B3" s="4" t="str">
        <f>+'Op-Model'!$B$3</f>
        <v>(GBP £ in Millions Except Per Share and Per Unit Data)</v>
      </c>
    </row>
    <row r="5" spans="2:14" x14ac:dyDescent="0.3">
      <c r="B5" s="21" t="s">
        <v>402</v>
      </c>
      <c r="C5" s="21"/>
      <c r="D5" s="104"/>
      <c r="E5" s="20" t="str">
        <f>+'Op-Model'!$E$150</f>
        <v>Historical</v>
      </c>
      <c r="F5" s="20"/>
      <c r="G5" s="20"/>
      <c r="H5" s="20"/>
      <c r="I5" s="20"/>
      <c r="J5" s="22" t="str">
        <f>+'Op-Model'!$J$150</f>
        <v>Projected</v>
      </c>
      <c r="K5" s="20"/>
      <c r="L5" s="20"/>
      <c r="M5" s="20"/>
      <c r="N5" s="20"/>
    </row>
    <row r="6" spans="2:14" s="5" customFormat="1" x14ac:dyDescent="0.3">
      <c r="B6" s="83" t="s">
        <v>376</v>
      </c>
      <c r="C6" s="83"/>
      <c r="D6" s="85" t="str">
        <f>+'Op-Model'!$D$151</f>
        <v>Units:</v>
      </c>
      <c r="E6" s="89">
        <f>+'Op-Model'!$E$151</f>
        <v>40543</v>
      </c>
      <c r="F6" s="89">
        <f>+'Op-Model'!$F$151</f>
        <v>40908</v>
      </c>
      <c r="G6" s="89">
        <f>+'Op-Model'!$G$151</f>
        <v>41274</v>
      </c>
      <c r="H6" s="89">
        <f>+'Op-Model'!$H$151</f>
        <v>41639</v>
      </c>
      <c r="I6" s="90">
        <f>+'Op-Model'!$I$151</f>
        <v>42004</v>
      </c>
      <c r="J6" s="89">
        <f>+'Op-Model'!$J$151</f>
        <v>42369</v>
      </c>
      <c r="K6" s="89">
        <f>+'Op-Model'!$K$151</f>
        <v>42735</v>
      </c>
      <c r="L6" s="89">
        <f>+'Op-Model'!$L$151</f>
        <v>43100</v>
      </c>
      <c r="M6" s="89">
        <f>+'Op-Model'!$M$151</f>
        <v>43465</v>
      </c>
      <c r="N6" s="89">
        <f>+'Op-Model'!$N$151</f>
        <v>43830</v>
      </c>
    </row>
    <row r="7" spans="2:14" s="41" customFormat="1" x14ac:dyDescent="0.3">
      <c r="B7" s="106" t="s">
        <v>357</v>
      </c>
      <c r="C7" s="106"/>
      <c r="D7" s="166"/>
      <c r="E7" s="107"/>
      <c r="F7" s="107"/>
      <c r="G7" s="107"/>
      <c r="H7" s="107"/>
      <c r="I7" s="106"/>
      <c r="J7" s="107"/>
      <c r="K7" s="107"/>
      <c r="L7" s="107"/>
      <c r="M7" s="107"/>
      <c r="N7" s="107"/>
    </row>
    <row r="8" spans="2:14" s="41" customFormat="1" x14ac:dyDescent="0.3">
      <c r="C8" s="3" t="s">
        <v>354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s="41" customFormat="1" x14ac:dyDescent="0.3">
      <c r="C9" s="26" t="s">
        <v>27</v>
      </c>
      <c r="D9" s="80" t="s">
        <v>74</v>
      </c>
      <c r="E9" s="48"/>
      <c r="F9" s="48"/>
      <c r="G9" s="48"/>
      <c r="H9" s="48"/>
      <c r="I9" s="276"/>
      <c r="J9" s="48"/>
      <c r="K9" s="48"/>
      <c r="L9" s="48"/>
      <c r="M9" s="48"/>
      <c r="N9" s="48"/>
    </row>
    <row r="10" spans="2:14" s="41" customFormat="1" x14ac:dyDescent="0.3">
      <c r="C10" s="26" t="s">
        <v>364</v>
      </c>
      <c r="D10" s="81" t="s">
        <v>74</v>
      </c>
      <c r="E10" s="279"/>
      <c r="F10" s="279"/>
      <c r="G10" s="279"/>
      <c r="H10" s="279"/>
      <c r="I10" s="280"/>
      <c r="J10" s="279"/>
      <c r="K10" s="279"/>
      <c r="L10" s="279"/>
      <c r="M10" s="279"/>
      <c r="N10" s="279"/>
    </row>
    <row r="11" spans="2:14" s="41" customFormat="1" x14ac:dyDescent="0.3">
      <c r="C11" s="7" t="s">
        <v>355</v>
      </c>
      <c r="D11" s="80" t="s">
        <v>74</v>
      </c>
      <c r="E11" s="9"/>
      <c r="F11" s="9"/>
      <c r="G11" s="9"/>
      <c r="H11" s="9"/>
      <c r="I11" s="278"/>
      <c r="J11" s="9"/>
      <c r="K11" s="9"/>
      <c r="L11" s="9"/>
      <c r="M11" s="9"/>
      <c r="N11" s="9"/>
    </row>
    <row r="12" spans="2:14" s="41" customFormat="1" x14ac:dyDescent="0.3">
      <c r="C12" s="32"/>
      <c r="D12" s="33"/>
      <c r="E12" s="60"/>
      <c r="F12" s="60"/>
      <c r="G12" s="60"/>
      <c r="H12" s="60"/>
      <c r="I12" s="60"/>
      <c r="J12" s="34"/>
      <c r="K12" s="34"/>
      <c r="L12" s="34"/>
      <c r="M12" s="34"/>
      <c r="N12" s="34"/>
    </row>
    <row r="13" spans="2:14" s="41" customFormat="1" x14ac:dyDescent="0.3">
      <c r="C13" s="108" t="s">
        <v>94</v>
      </c>
      <c r="D13" s="80" t="s">
        <v>74</v>
      </c>
      <c r="E13" s="8"/>
      <c r="F13" s="8"/>
      <c r="G13" s="8"/>
      <c r="H13" s="8"/>
      <c r="I13" s="277"/>
      <c r="J13" s="8"/>
      <c r="K13" s="8"/>
      <c r="L13" s="8"/>
      <c r="M13" s="8"/>
      <c r="N13" s="8"/>
    </row>
    <row r="14" spans="2:14" s="41" customFormat="1" x14ac:dyDescent="0.3">
      <c r="C14" s="108" t="s">
        <v>365</v>
      </c>
      <c r="D14" s="80" t="s">
        <v>74</v>
      </c>
      <c r="E14" s="9"/>
      <c r="F14" s="9"/>
      <c r="G14" s="9"/>
      <c r="H14" s="9"/>
      <c r="I14" s="278"/>
      <c r="J14" s="9"/>
      <c r="K14" s="9"/>
      <c r="L14" s="9"/>
      <c r="M14" s="9"/>
      <c r="N14" s="9"/>
    </row>
    <row r="15" spans="2:14" s="41" customFormat="1" x14ac:dyDescent="0.3">
      <c r="C15" s="32"/>
      <c r="D15" s="33"/>
      <c r="E15" s="60"/>
      <c r="F15" s="60"/>
      <c r="G15" s="60"/>
      <c r="H15" s="60"/>
      <c r="I15" s="60"/>
      <c r="J15" s="34"/>
      <c r="K15" s="34"/>
      <c r="L15" s="34"/>
      <c r="M15" s="34"/>
      <c r="N15" s="34"/>
    </row>
    <row r="16" spans="2:14" s="41" customFormat="1" x14ac:dyDescent="0.3">
      <c r="C16" s="108" t="s">
        <v>30</v>
      </c>
      <c r="D16" s="80" t="s">
        <v>74</v>
      </c>
      <c r="E16" s="8"/>
      <c r="F16" s="8"/>
      <c r="G16" s="8"/>
      <c r="H16" s="8"/>
      <c r="I16" s="277"/>
      <c r="J16" s="8"/>
      <c r="K16" s="8"/>
      <c r="L16" s="8"/>
      <c r="M16" s="8"/>
      <c r="N16" s="8"/>
    </row>
    <row r="17" spans="2:14" x14ac:dyDescent="0.3">
      <c r="C17" s="5" t="s">
        <v>356</v>
      </c>
      <c r="D17" s="80" t="s">
        <v>247</v>
      </c>
      <c r="E17" s="281"/>
      <c r="F17" s="281"/>
      <c r="G17" s="281"/>
      <c r="H17" s="281"/>
      <c r="I17" s="282"/>
      <c r="J17" s="281"/>
      <c r="K17" s="281"/>
      <c r="L17" s="281"/>
      <c r="M17" s="281"/>
      <c r="N17" s="281"/>
    </row>
    <row r="18" spans="2:14" x14ac:dyDescent="0.3">
      <c r="C18" s="26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x14ac:dyDescent="0.3">
      <c r="B19" s="106" t="s">
        <v>358</v>
      </c>
      <c r="C19" s="106"/>
      <c r="D19" s="166"/>
      <c r="E19" s="107"/>
      <c r="F19" s="107"/>
      <c r="G19" s="107"/>
      <c r="H19" s="107"/>
      <c r="I19" s="106"/>
      <c r="J19" s="107"/>
      <c r="K19" s="107"/>
      <c r="L19" s="107"/>
      <c r="M19" s="107"/>
      <c r="N19" s="107"/>
    </row>
    <row r="20" spans="2:14" x14ac:dyDescent="0.3">
      <c r="C20" s="30" t="str">
        <f>+'Op-Model'!C274</f>
        <v>Net Loans:</v>
      </c>
      <c r="D20" s="80" t="s">
        <v>74</v>
      </c>
      <c r="E20" s="8"/>
      <c r="F20" s="8"/>
      <c r="G20" s="8"/>
      <c r="H20" s="8"/>
      <c r="I20" s="277"/>
      <c r="J20" s="8"/>
      <c r="K20" s="8"/>
      <c r="L20" s="8"/>
      <c r="M20" s="8"/>
      <c r="N20" s="8"/>
    </row>
    <row r="21" spans="2:14" x14ac:dyDescent="0.3">
      <c r="C21" s="30" t="str">
        <f>+'Op-Model'!C281</f>
        <v>Total Assets:</v>
      </c>
      <c r="D21" s="80" t="s">
        <v>74</v>
      </c>
      <c r="E21" s="8"/>
      <c r="F21" s="8"/>
      <c r="G21" s="8"/>
      <c r="H21" s="8"/>
      <c r="I21" s="277"/>
      <c r="J21" s="8"/>
      <c r="K21" s="8"/>
      <c r="L21" s="8"/>
      <c r="M21" s="8"/>
      <c r="N21" s="8"/>
    </row>
    <row r="22" spans="2:14" x14ac:dyDescent="0.3">
      <c r="C22" s="30" t="str">
        <f>+'Op-Model'!C285</f>
        <v>Deposits:</v>
      </c>
      <c r="D22" s="80" t="s">
        <v>74</v>
      </c>
      <c r="E22" s="8"/>
      <c r="F22" s="8"/>
      <c r="G22" s="8"/>
      <c r="H22" s="8"/>
      <c r="I22" s="277"/>
      <c r="J22" s="8"/>
      <c r="K22" s="8"/>
      <c r="L22" s="8"/>
      <c r="M22" s="8"/>
      <c r="N22" s="8"/>
    </row>
    <row r="23" spans="2:14" x14ac:dyDescent="0.3">
      <c r="C23" s="30" t="str">
        <f>+'Op-Model'!C298</f>
        <v>Total Liabilities &amp; Equity:</v>
      </c>
      <c r="D23" s="80" t="s">
        <v>74</v>
      </c>
      <c r="E23" s="8"/>
      <c r="F23" s="8"/>
      <c r="G23" s="8"/>
      <c r="H23" s="8"/>
      <c r="I23" s="277"/>
      <c r="J23" s="8"/>
      <c r="K23" s="8"/>
      <c r="L23" s="8"/>
      <c r="M23" s="8"/>
      <c r="N23" s="8"/>
    </row>
    <row r="24" spans="2:14" x14ac:dyDescent="0.3">
      <c r="C24" s="26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x14ac:dyDescent="0.3">
      <c r="C25" s="30" t="s">
        <v>359</v>
      </c>
      <c r="D25" s="80" t="s">
        <v>74</v>
      </c>
      <c r="E25" s="8"/>
      <c r="F25" s="8"/>
      <c r="G25" s="8"/>
      <c r="H25" s="8"/>
      <c r="I25" s="277"/>
      <c r="J25" s="8"/>
      <c r="K25" s="8"/>
      <c r="L25" s="8"/>
      <c r="M25" s="8"/>
      <c r="N25" s="8"/>
    </row>
    <row r="26" spans="2:14" x14ac:dyDescent="0.3">
      <c r="C26" s="37" t="s">
        <v>360</v>
      </c>
      <c r="D26" s="80" t="s">
        <v>74</v>
      </c>
      <c r="E26" s="9"/>
      <c r="F26" s="9"/>
      <c r="G26" s="9"/>
      <c r="H26" s="9"/>
      <c r="I26" s="278"/>
      <c r="J26" s="9"/>
      <c r="K26" s="9"/>
      <c r="L26" s="9"/>
      <c r="M26" s="9"/>
      <c r="N26" s="9"/>
    </row>
    <row r="28" spans="2:14" x14ac:dyDescent="0.3">
      <c r="C28" s="30" t="str">
        <f>+'Op-Model'!C43</f>
        <v>Risk-Weighted Assets (RWA):</v>
      </c>
      <c r="D28" s="80" t="s">
        <v>74</v>
      </c>
      <c r="E28" s="8"/>
      <c r="F28" s="8"/>
      <c r="G28" s="8"/>
      <c r="H28" s="8"/>
      <c r="I28" s="277"/>
      <c r="J28" s="8"/>
      <c r="K28" s="8"/>
      <c r="L28" s="8"/>
      <c r="M28" s="8"/>
      <c r="N28" s="8"/>
    </row>
    <row r="29" spans="2:14" x14ac:dyDescent="0.3">
      <c r="C29" s="26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3">
      <c r="B30" s="106" t="s">
        <v>361</v>
      </c>
      <c r="C30" s="106"/>
      <c r="D30" s="166"/>
      <c r="E30" s="107"/>
      <c r="F30" s="107"/>
      <c r="G30" s="107"/>
      <c r="H30" s="107"/>
      <c r="I30" s="106"/>
      <c r="J30" s="107"/>
      <c r="K30" s="107"/>
      <c r="L30" s="107"/>
      <c r="M30" s="107"/>
      <c r="N30" s="107"/>
    </row>
    <row r="31" spans="2:14" x14ac:dyDescent="0.3">
      <c r="C31" s="30" t="str">
        <f>+'Op-Model'!C363</f>
        <v>Return on Common Equity:</v>
      </c>
      <c r="D31" s="80" t="s">
        <v>84</v>
      </c>
      <c r="E31" s="19"/>
      <c r="F31" s="283"/>
      <c r="G31" s="283"/>
      <c r="H31" s="283"/>
      <c r="I31" s="284"/>
      <c r="J31" s="283"/>
      <c r="K31" s="283"/>
      <c r="L31" s="283"/>
      <c r="M31" s="283"/>
      <c r="N31" s="283"/>
    </row>
    <row r="32" spans="2:14" x14ac:dyDescent="0.3">
      <c r="C32" s="30" t="str">
        <f>+'Op-Model'!C364</f>
        <v>Return on Tangible Common Equity:</v>
      </c>
      <c r="D32" s="80" t="s">
        <v>84</v>
      </c>
      <c r="E32" s="19"/>
      <c r="F32" s="283"/>
      <c r="G32" s="283"/>
      <c r="H32" s="283"/>
      <c r="I32" s="284"/>
      <c r="J32" s="283"/>
      <c r="K32" s="283"/>
      <c r="L32" s="283"/>
      <c r="M32" s="283"/>
      <c r="N32" s="283"/>
    </row>
    <row r="33" spans="3:14" x14ac:dyDescent="0.3">
      <c r="C33" s="30" t="str">
        <f>+'Op-Model'!C365</f>
        <v>Return on Equity:</v>
      </c>
      <c r="D33" s="80" t="s">
        <v>84</v>
      </c>
      <c r="E33" s="19"/>
      <c r="F33" s="283"/>
      <c r="G33" s="283"/>
      <c r="H33" s="283"/>
      <c r="I33" s="284"/>
      <c r="J33" s="283"/>
      <c r="K33" s="283"/>
      <c r="L33" s="283"/>
      <c r="M33" s="283"/>
      <c r="N33" s="283"/>
    </row>
    <row r="34" spans="3:14" x14ac:dyDescent="0.3">
      <c r="C34" s="30" t="str">
        <f>+'Op-Model'!C366</f>
        <v>Return on Assets:</v>
      </c>
      <c r="D34" s="80" t="s">
        <v>84</v>
      </c>
      <c r="E34" s="19"/>
      <c r="F34" s="285"/>
      <c r="G34" s="285"/>
      <c r="H34" s="285"/>
      <c r="I34" s="286"/>
      <c r="J34" s="285"/>
      <c r="K34" s="285"/>
      <c r="L34" s="285"/>
      <c r="M34" s="285"/>
      <c r="N34" s="285"/>
    </row>
    <row r="35" spans="3:14" x14ac:dyDescent="0.3">
      <c r="C35" s="30" t="str">
        <f>+'Op-Model'!C367</f>
        <v>Return on Tangible Assets:</v>
      </c>
      <c r="D35" s="80" t="s">
        <v>84</v>
      </c>
      <c r="E35" s="19"/>
      <c r="F35" s="285"/>
      <c r="G35" s="285"/>
      <c r="H35" s="285"/>
      <c r="I35" s="286"/>
      <c r="J35" s="285"/>
      <c r="K35" s="285"/>
      <c r="L35" s="285"/>
      <c r="M35" s="285"/>
      <c r="N35" s="285"/>
    </row>
    <row r="37" spans="3:14" x14ac:dyDescent="0.3">
      <c r="C37" s="4" t="str">
        <f>+'Op-Model'!C359</f>
        <v>Net Charge-Off Ratio:</v>
      </c>
      <c r="D37" s="80" t="s">
        <v>84</v>
      </c>
      <c r="E37" s="287"/>
      <c r="F37" s="287"/>
      <c r="G37" s="287"/>
      <c r="H37" s="287"/>
      <c r="I37" s="288"/>
      <c r="J37" s="287"/>
      <c r="K37" s="287"/>
      <c r="L37" s="287"/>
      <c r="M37" s="287"/>
      <c r="N37" s="287"/>
    </row>
    <row r="38" spans="3:14" x14ac:dyDescent="0.3">
      <c r="C38" s="4" t="str">
        <f>+'Op-Model'!C360</f>
        <v>Net Charge-Offs / Reserves:</v>
      </c>
      <c r="D38" s="80" t="s">
        <v>84</v>
      </c>
      <c r="E38" s="287"/>
      <c r="F38" s="287"/>
      <c r="G38" s="287"/>
      <c r="H38" s="287"/>
      <c r="I38" s="288"/>
      <c r="J38" s="287"/>
      <c r="K38" s="287"/>
      <c r="L38" s="287"/>
      <c r="M38" s="287"/>
      <c r="N38" s="287"/>
    </row>
    <row r="39" spans="3:14" x14ac:dyDescent="0.3">
      <c r="C39" s="4" t="str">
        <f>+'Op-Model'!C361</f>
        <v>Reserve Ratio:</v>
      </c>
      <c r="D39" s="80" t="s">
        <v>84</v>
      </c>
      <c r="E39" s="287"/>
      <c r="F39" s="287"/>
      <c r="G39" s="287"/>
      <c r="H39" s="287"/>
      <c r="I39" s="288"/>
      <c r="J39" s="287"/>
      <c r="K39" s="287"/>
      <c r="L39" s="287"/>
      <c r="M39" s="287"/>
      <c r="N39" s="287"/>
    </row>
    <row r="41" spans="3:14" x14ac:dyDescent="0.3">
      <c r="C41" s="5" t="str">
        <f>+'Op-Model'!C357</f>
        <v>Net Loans / Deposits:</v>
      </c>
      <c r="D41" s="80" t="s">
        <v>84</v>
      </c>
      <c r="E41" s="19"/>
      <c r="F41" s="285"/>
      <c r="G41" s="285"/>
      <c r="H41" s="285"/>
      <c r="I41" s="286"/>
      <c r="J41" s="285"/>
      <c r="K41" s="285"/>
      <c r="L41" s="285"/>
      <c r="M41" s="285"/>
      <c r="N41" s="285"/>
    </row>
    <row r="42" spans="3:14" x14ac:dyDescent="0.3">
      <c r="C42" s="5" t="str">
        <f>+'Op-Model'!C369</f>
        <v>Net Interest Margin:</v>
      </c>
      <c r="D42" s="80" t="s">
        <v>84</v>
      </c>
      <c r="E42" s="19"/>
      <c r="F42" s="285"/>
      <c r="G42" s="285"/>
      <c r="H42" s="285"/>
      <c r="I42" s="286"/>
      <c r="J42" s="285"/>
      <c r="K42" s="285"/>
      <c r="L42" s="285"/>
      <c r="M42" s="285"/>
      <c r="N42" s="285"/>
    </row>
    <row r="43" spans="3:14" x14ac:dyDescent="0.3">
      <c r="C43" s="5" t="str">
        <f>+'Op-Model'!C372</f>
        <v>Spread Between IEA and IBL Rates:</v>
      </c>
      <c r="D43" s="80" t="s">
        <v>84</v>
      </c>
      <c r="E43" s="19"/>
      <c r="F43" s="285"/>
      <c r="G43" s="285"/>
      <c r="H43" s="285"/>
      <c r="I43" s="286"/>
      <c r="J43" s="285"/>
      <c r="K43" s="285"/>
      <c r="L43" s="285"/>
      <c r="M43" s="285"/>
      <c r="N43" s="285"/>
    </row>
    <row r="45" spans="3:14" x14ac:dyDescent="0.3">
      <c r="C45" s="5" t="str">
        <f>+'Op-Model'!C374</f>
        <v>Net Interest Income / Revenue:</v>
      </c>
      <c r="D45" s="80" t="s">
        <v>84</v>
      </c>
      <c r="E45" s="19"/>
      <c r="F45" s="285"/>
      <c r="G45" s="285"/>
      <c r="H45" s="285"/>
      <c r="I45" s="286"/>
      <c r="J45" s="285"/>
      <c r="K45" s="285"/>
      <c r="L45" s="285"/>
      <c r="M45" s="285"/>
      <c r="N45" s="285"/>
    </row>
    <row r="46" spans="3:14" x14ac:dyDescent="0.3">
      <c r="C46" s="5" t="str">
        <f>+'Op-Model'!C375</f>
        <v>Overhead Ratio:</v>
      </c>
      <c r="D46" s="80" t="s">
        <v>84</v>
      </c>
      <c r="E46" s="19"/>
      <c r="F46" s="285"/>
      <c r="G46" s="285"/>
      <c r="H46" s="285"/>
      <c r="I46" s="286"/>
      <c r="J46" s="285"/>
      <c r="K46" s="285"/>
      <c r="L46" s="285"/>
      <c r="M46" s="285"/>
      <c r="N46" s="285"/>
    </row>
    <row r="47" spans="3:14" x14ac:dyDescent="0.3">
      <c r="C47" s="5" t="str">
        <f>+'Op-Model'!C376</f>
        <v>Dividend Payout Ratio:</v>
      </c>
      <c r="D47" s="80" t="s">
        <v>84</v>
      </c>
      <c r="E47" s="19"/>
      <c r="F47" s="285"/>
      <c r="G47" s="285"/>
      <c r="H47" s="285"/>
      <c r="I47" s="286"/>
      <c r="J47" s="285"/>
      <c r="K47" s="285"/>
      <c r="L47" s="285"/>
      <c r="M47" s="285"/>
      <c r="N47" s="285"/>
    </row>
    <row r="49" spans="2:14" x14ac:dyDescent="0.3">
      <c r="B49" s="106" t="s">
        <v>363</v>
      </c>
      <c r="C49" s="106"/>
      <c r="D49" s="166"/>
      <c r="E49" s="107"/>
      <c r="F49" s="107"/>
      <c r="G49" s="107"/>
      <c r="H49" s="107"/>
      <c r="I49" s="106"/>
      <c r="J49" s="107"/>
      <c r="K49" s="107"/>
      <c r="L49" s="107"/>
      <c r="M49" s="107"/>
      <c r="N49" s="107"/>
    </row>
    <row r="50" spans="2:14" x14ac:dyDescent="0.3">
      <c r="C50" s="30" t="str">
        <f>+Capital!C47</f>
        <v>Common Equity Tier 1 (CET1) Ratio:</v>
      </c>
      <c r="D50" s="80" t="s">
        <v>84</v>
      </c>
      <c r="E50" s="19"/>
      <c r="F50" s="19"/>
      <c r="G50" s="19"/>
      <c r="H50" s="19"/>
      <c r="I50" s="290"/>
      <c r="J50" s="19"/>
      <c r="K50" s="19"/>
      <c r="L50" s="19"/>
      <c r="M50" s="19"/>
      <c r="N50" s="19"/>
    </row>
    <row r="51" spans="2:14" x14ac:dyDescent="0.3">
      <c r="C51" s="30" t="str">
        <f>+Capital!C48</f>
        <v>Tier 1 Capital Ratio:</v>
      </c>
      <c r="D51" s="80" t="s">
        <v>84</v>
      </c>
      <c r="E51" s="19"/>
      <c r="F51" s="19"/>
      <c r="G51" s="19"/>
      <c r="H51" s="19"/>
      <c r="I51" s="290"/>
      <c r="J51" s="19"/>
      <c r="K51" s="19"/>
      <c r="L51" s="19"/>
      <c r="M51" s="19"/>
      <c r="N51" s="19"/>
    </row>
    <row r="52" spans="2:14" x14ac:dyDescent="0.3">
      <c r="C52" s="30" t="str">
        <f>+Capital!C49</f>
        <v>Total Capital Ratio:</v>
      </c>
      <c r="D52" s="80" t="s">
        <v>84</v>
      </c>
      <c r="E52" s="19"/>
      <c r="F52" s="19"/>
      <c r="G52" s="19"/>
      <c r="H52" s="19"/>
      <c r="I52" s="290"/>
      <c r="J52" s="19"/>
      <c r="K52" s="19"/>
      <c r="L52" s="19"/>
      <c r="M52" s="19"/>
      <c r="N52" s="19"/>
    </row>
    <row r="53" spans="2:14" x14ac:dyDescent="0.3">
      <c r="C53" s="30" t="str">
        <f>+Capital!C50</f>
        <v>Leverage Ratio:</v>
      </c>
      <c r="D53" s="80" t="s">
        <v>84</v>
      </c>
      <c r="E53" s="19"/>
      <c r="F53" s="19"/>
      <c r="G53" s="19"/>
      <c r="H53" s="19"/>
      <c r="I53" s="290"/>
      <c r="J53" s="19"/>
      <c r="K53" s="19"/>
      <c r="L53" s="19"/>
      <c r="M53" s="19"/>
      <c r="N53" s="19"/>
    </row>
    <row r="54" spans="2:14" x14ac:dyDescent="0.3">
      <c r="C54" s="30" t="str">
        <f>+Capital!C51</f>
        <v>Tangible Common Equity (TCE) Ratio:</v>
      </c>
      <c r="D54" s="80" t="s">
        <v>84</v>
      </c>
      <c r="E54" s="19"/>
      <c r="F54" s="19"/>
      <c r="G54" s="19"/>
      <c r="H54" s="19"/>
      <c r="I54" s="290"/>
      <c r="J54" s="19"/>
      <c r="K54" s="19"/>
      <c r="L54" s="19"/>
      <c r="M54" s="19"/>
      <c r="N54" s="19"/>
    </row>
    <row r="55" spans="2:14" x14ac:dyDescent="0.3">
      <c r="C55" s="26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x14ac:dyDescent="0.3">
      <c r="C56" s="37" t="str">
        <f>+Capital!C90</f>
        <v>Liquidity Coverage Ratio (LCR):</v>
      </c>
      <c r="D56" s="80" t="s">
        <v>84</v>
      </c>
      <c r="E56" s="19"/>
      <c r="F56" s="19"/>
      <c r="G56" s="19"/>
      <c r="H56" s="19"/>
      <c r="I56" s="290"/>
      <c r="J56" s="73"/>
      <c r="K56" s="73"/>
      <c r="L56" s="73"/>
      <c r="M56" s="73"/>
      <c r="N56" s="73"/>
    </row>
    <row r="57" spans="2:14" x14ac:dyDescent="0.3">
      <c r="C57" s="37" t="str">
        <f>+Capital!C143</f>
        <v>Net Stable Funding Ratio (NSFR):</v>
      </c>
      <c r="D57" s="80" t="s">
        <v>84</v>
      </c>
      <c r="E57" s="19"/>
      <c r="F57" s="19"/>
      <c r="G57" s="19"/>
      <c r="H57" s="19"/>
      <c r="I57" s="290"/>
      <c r="J57" s="73"/>
      <c r="K57" s="73"/>
      <c r="L57" s="73"/>
      <c r="M57" s="73"/>
      <c r="N57" s="73"/>
    </row>
    <row r="58" spans="2:14" x14ac:dyDescent="0.3">
      <c r="C58" s="26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s="5" customFormat="1" x14ac:dyDescent="0.3"/>
    <row r="60" spans="2:14" s="5" customFormat="1" x14ac:dyDescent="0.3">
      <c r="C60" s="3"/>
    </row>
  </sheetData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2:W146"/>
  <sheetViews>
    <sheetView showGridLines="0" topLeftCell="A4" zoomScaleNormal="100" workbookViewId="0">
      <selection activeCell="D21" sqref="D21"/>
    </sheetView>
  </sheetViews>
  <sheetFormatPr defaultColWidth="8.77734375" defaultRowHeight="14.4" x14ac:dyDescent="0.3"/>
  <cols>
    <col min="1" max="2" width="2.77734375" style="4" customWidth="1"/>
    <col min="3" max="3" width="40.6640625" style="5" customWidth="1"/>
    <col min="4" max="4" width="11.5546875" style="25" customWidth="1"/>
    <col min="5" max="14" width="11.5546875" style="5" customWidth="1"/>
    <col min="15" max="15" width="2.77734375" style="4" customWidth="1"/>
    <col min="16" max="17" width="8.77734375" style="4"/>
    <col min="18" max="18" width="34.21875" style="4" bestFit="1" customWidth="1"/>
    <col min="19" max="21" width="12.6640625" style="4" customWidth="1"/>
    <col min="22" max="22" width="8.77734375" style="4"/>
    <col min="23" max="23" width="29.5546875" style="4" bestFit="1" customWidth="1"/>
    <col min="24" max="25" width="12.6640625" style="4" customWidth="1"/>
    <col min="26" max="16384" width="8.77734375" style="4"/>
  </cols>
  <sheetData>
    <row r="2" spans="2:14" x14ac:dyDescent="0.3">
      <c r="B2" s="39" t="str">
        <f>Company_Name&amp;" - Regulatory Capital - "&amp;Scenario&amp;" Case"</f>
        <v>Shawbrook Group PLC - Regulatory Capital - Base Case</v>
      </c>
    </row>
    <row r="3" spans="2:14" x14ac:dyDescent="0.3">
      <c r="B3" s="4" t="str">
        <f>+'Op-Model'!$B$3</f>
        <v>(GBP £ in Millions Except Per Share and Per Unit Data)</v>
      </c>
    </row>
    <row r="5" spans="2:14" x14ac:dyDescent="0.3">
      <c r="B5" s="21"/>
      <c r="C5" s="21"/>
      <c r="D5" s="104"/>
      <c r="E5" s="20" t="str">
        <f>+'Op-Model'!$E$150</f>
        <v>Historical</v>
      </c>
      <c r="F5" s="20"/>
      <c r="G5" s="20"/>
      <c r="H5" s="20"/>
      <c r="I5" s="20"/>
      <c r="J5" s="22" t="str">
        <f>+'Op-Model'!$J$150</f>
        <v>Projected</v>
      </c>
      <c r="K5" s="20"/>
      <c r="L5" s="20"/>
      <c r="M5" s="20"/>
      <c r="N5" s="20"/>
    </row>
    <row r="6" spans="2:14" s="5" customFormat="1" x14ac:dyDescent="0.3">
      <c r="B6" s="83" t="s">
        <v>396</v>
      </c>
      <c r="C6" s="83"/>
      <c r="D6" s="85" t="str">
        <f>+'Op-Model'!$D$151</f>
        <v>Units:</v>
      </c>
      <c r="E6" s="89">
        <f>+'Op-Model'!$E$151</f>
        <v>40543</v>
      </c>
      <c r="F6" s="89">
        <f>+'Op-Model'!$F$151</f>
        <v>40908</v>
      </c>
      <c r="G6" s="89">
        <f>+'Op-Model'!$G$151</f>
        <v>41274</v>
      </c>
      <c r="H6" s="89">
        <f>+'Op-Model'!$H$151</f>
        <v>41639</v>
      </c>
      <c r="I6" s="90">
        <f>+'Op-Model'!$I$151</f>
        <v>42004</v>
      </c>
      <c r="J6" s="89">
        <f>+'Op-Model'!$J$151</f>
        <v>42369</v>
      </c>
      <c r="K6" s="89">
        <f>+'Op-Model'!$K$151</f>
        <v>42735</v>
      </c>
      <c r="L6" s="89">
        <f>+'Op-Model'!$L$151</f>
        <v>43100</v>
      </c>
      <c r="M6" s="89">
        <f>+'Op-Model'!$M$151</f>
        <v>43465</v>
      </c>
      <c r="N6" s="89">
        <f>+'Op-Model'!$N$151</f>
        <v>43830</v>
      </c>
    </row>
    <row r="7" spans="2:14" s="41" customFormat="1" x14ac:dyDescent="0.3">
      <c r="C7" s="32"/>
      <c r="D7" s="38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2:14" s="41" customFormat="1" x14ac:dyDescent="0.3">
      <c r="C8" s="39" t="s">
        <v>141</v>
      </c>
      <c r="D8" s="80" t="s">
        <v>74</v>
      </c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s="41" customFormat="1" x14ac:dyDescent="0.3">
      <c r="C9" s="72" t="s">
        <v>260</v>
      </c>
      <c r="D9" s="80" t="s">
        <v>74</v>
      </c>
      <c r="E9" s="248"/>
      <c r="F9" s="248"/>
      <c r="G9" s="248"/>
      <c r="H9" s="248"/>
      <c r="I9" s="256"/>
      <c r="J9" s="141"/>
      <c r="K9" s="191"/>
      <c r="L9" s="191"/>
      <c r="M9" s="191"/>
      <c r="N9" s="191"/>
    </row>
    <row r="10" spans="2:14" s="41" customFormat="1" x14ac:dyDescent="0.3">
      <c r="C10" s="243" t="s">
        <v>259</v>
      </c>
      <c r="D10" s="81" t="s">
        <v>74</v>
      </c>
      <c r="E10" s="251"/>
      <c r="F10" s="251"/>
      <c r="G10" s="251"/>
      <c r="H10" s="251"/>
      <c r="I10" s="257"/>
      <c r="J10" s="251"/>
      <c r="K10" s="251"/>
      <c r="L10" s="251"/>
      <c r="M10" s="251"/>
      <c r="N10" s="251"/>
    </row>
    <row r="11" spans="2:14" s="41" customFormat="1" x14ac:dyDescent="0.3">
      <c r="C11" s="3" t="s">
        <v>261</v>
      </c>
      <c r="D11" s="80" t="s">
        <v>74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</row>
    <row r="12" spans="2:14" s="41" customFormat="1" x14ac:dyDescent="0.3">
      <c r="C12" s="31"/>
      <c r="D12" s="80"/>
      <c r="E12" s="242"/>
      <c r="F12" s="242"/>
      <c r="G12" s="242"/>
      <c r="H12" s="242"/>
      <c r="I12" s="45"/>
      <c r="J12" s="242"/>
      <c r="K12" s="242"/>
      <c r="L12" s="242"/>
      <c r="M12" s="242"/>
      <c r="N12" s="242"/>
    </row>
    <row r="13" spans="2:14" s="41" customFormat="1" x14ac:dyDescent="0.3">
      <c r="C13" s="39" t="s">
        <v>141</v>
      </c>
      <c r="D13" s="80" t="s">
        <v>74</v>
      </c>
      <c r="E13" s="255"/>
      <c r="F13" s="255"/>
      <c r="G13" s="255"/>
      <c r="H13" s="255"/>
      <c r="I13" s="258"/>
      <c r="J13" s="255"/>
      <c r="K13" s="255"/>
      <c r="L13" s="255"/>
      <c r="M13" s="255"/>
      <c r="N13" s="255"/>
    </row>
    <row r="14" spans="2:14" s="41" customFormat="1" x14ac:dyDescent="0.3">
      <c r="C14" s="72" t="s">
        <v>260</v>
      </c>
      <c r="D14" s="80" t="s">
        <v>74</v>
      </c>
      <c r="E14" s="248"/>
      <c r="F14" s="248"/>
      <c r="G14" s="248"/>
      <c r="H14" s="248"/>
      <c r="I14" s="256"/>
      <c r="J14" s="141"/>
      <c r="K14" s="191"/>
      <c r="L14" s="191"/>
      <c r="M14" s="191"/>
      <c r="N14" s="191"/>
    </row>
    <row r="15" spans="2:14" s="41" customFormat="1" x14ac:dyDescent="0.3">
      <c r="C15" s="243" t="s">
        <v>259</v>
      </c>
      <c r="D15" s="81" t="s">
        <v>74</v>
      </c>
      <c r="E15" s="251"/>
      <c r="F15" s="251"/>
      <c r="G15" s="251"/>
      <c r="H15" s="251"/>
      <c r="I15" s="257"/>
      <c r="J15" s="251"/>
      <c r="K15" s="251"/>
      <c r="L15" s="251"/>
      <c r="M15" s="251"/>
      <c r="N15" s="251"/>
    </row>
    <row r="16" spans="2:14" s="41" customFormat="1" x14ac:dyDescent="0.3">
      <c r="C16" s="39" t="s">
        <v>251</v>
      </c>
      <c r="D16" s="80" t="s">
        <v>74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3:14" s="41" customFormat="1" x14ac:dyDescent="0.3">
      <c r="C17" s="243" t="s">
        <v>252</v>
      </c>
      <c r="D17" s="81" t="s">
        <v>74</v>
      </c>
      <c r="E17" s="244"/>
      <c r="F17" s="244"/>
      <c r="G17" s="244"/>
      <c r="H17" s="244"/>
      <c r="I17" s="269"/>
      <c r="J17" s="245"/>
      <c r="K17" s="246"/>
      <c r="L17" s="246"/>
      <c r="M17" s="246"/>
      <c r="N17" s="246"/>
    </row>
    <row r="18" spans="3:14" s="41" customFormat="1" x14ac:dyDescent="0.3">
      <c r="C18" s="3" t="s">
        <v>42</v>
      </c>
      <c r="D18" s="80" t="s">
        <v>74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3:14" s="41" customFormat="1" x14ac:dyDescent="0.3">
      <c r="C19" s="252" t="s">
        <v>43</v>
      </c>
      <c r="D19" s="80" t="s">
        <v>84</v>
      </c>
      <c r="E19" s="254"/>
      <c r="F19" s="254"/>
      <c r="G19" s="254"/>
      <c r="H19" s="254"/>
      <c r="I19" s="270"/>
      <c r="J19" s="254"/>
      <c r="K19" s="254"/>
      <c r="L19" s="254"/>
      <c r="M19" s="254"/>
      <c r="N19" s="254"/>
    </row>
    <row r="20" spans="3:14" s="41" customFormat="1" x14ac:dyDescent="0.3">
      <c r="C20" s="32"/>
      <c r="D20" s="38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3:14" s="41" customFormat="1" x14ac:dyDescent="0.3">
      <c r="C21" s="39" t="s">
        <v>44</v>
      </c>
      <c r="D21" s="38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3:14" s="41" customFormat="1" x14ac:dyDescent="0.3">
      <c r="C22" s="75" t="s">
        <v>253</v>
      </c>
      <c r="D22" s="80" t="s">
        <v>74</v>
      </c>
      <c r="E22" s="248"/>
      <c r="F22" s="248"/>
      <c r="G22" s="248"/>
      <c r="H22" s="248"/>
      <c r="I22" s="256"/>
      <c r="J22" s="141"/>
      <c r="K22" s="191"/>
      <c r="L22" s="191"/>
      <c r="M22" s="191"/>
      <c r="N22" s="191"/>
    </row>
    <row r="23" spans="3:14" s="41" customFormat="1" x14ac:dyDescent="0.3">
      <c r="C23" s="247" t="s">
        <v>254</v>
      </c>
      <c r="D23" s="80" t="s">
        <v>74</v>
      </c>
      <c r="E23" s="141"/>
      <c r="F23" s="250"/>
      <c r="G23" s="250"/>
      <c r="H23" s="250"/>
      <c r="I23" s="271"/>
      <c r="J23" s="250"/>
      <c r="K23" s="250"/>
      <c r="L23" s="250"/>
      <c r="M23" s="250"/>
      <c r="N23" s="250"/>
    </row>
    <row r="24" spans="3:14" x14ac:dyDescent="0.3">
      <c r="C24" s="198" t="s">
        <v>255</v>
      </c>
      <c r="D24" s="81" t="s">
        <v>74</v>
      </c>
      <c r="E24" s="249"/>
      <c r="F24" s="249"/>
      <c r="G24" s="249"/>
      <c r="H24" s="249"/>
      <c r="I24" s="262"/>
      <c r="J24" s="181"/>
      <c r="K24" s="181"/>
      <c r="L24" s="181"/>
      <c r="M24" s="181"/>
      <c r="N24" s="181"/>
    </row>
    <row r="25" spans="3:14" x14ac:dyDescent="0.3">
      <c r="C25" s="3" t="s">
        <v>256</v>
      </c>
      <c r="D25" s="80" t="s">
        <v>74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3:14" x14ac:dyDescent="0.3">
      <c r="C26" s="252" t="s">
        <v>43</v>
      </c>
      <c r="D26" s="80" t="s">
        <v>84</v>
      </c>
      <c r="E26" s="254"/>
      <c r="F26" s="254"/>
      <c r="G26" s="254"/>
      <c r="H26" s="254"/>
      <c r="I26" s="270"/>
      <c r="J26" s="254"/>
      <c r="K26" s="254"/>
      <c r="L26" s="254"/>
      <c r="M26" s="254"/>
      <c r="N26" s="254"/>
    </row>
    <row r="27" spans="3:14" x14ac:dyDescent="0.3">
      <c r="C27" s="31"/>
      <c r="E27" s="1"/>
      <c r="F27" s="1"/>
      <c r="G27" s="15"/>
      <c r="H27" s="15"/>
      <c r="I27" s="15"/>
      <c r="J27" s="15"/>
      <c r="K27" s="15"/>
      <c r="L27" s="15"/>
      <c r="M27" s="15"/>
      <c r="N27" s="15"/>
    </row>
    <row r="28" spans="3:14" x14ac:dyDescent="0.3">
      <c r="C28" s="30" t="s">
        <v>257</v>
      </c>
      <c r="D28" s="80" t="s">
        <v>84</v>
      </c>
      <c r="E28" s="15"/>
      <c r="F28" s="15"/>
      <c r="G28" s="15"/>
      <c r="H28" s="15"/>
      <c r="I28" s="16"/>
      <c r="J28" s="183"/>
      <c r="K28" s="183"/>
      <c r="L28" s="183"/>
      <c r="M28" s="183"/>
      <c r="N28" s="183"/>
    </row>
    <row r="29" spans="3:14" x14ac:dyDescent="0.3">
      <c r="C29" s="26"/>
      <c r="E29" s="1"/>
      <c r="F29" s="1"/>
      <c r="G29" s="1"/>
      <c r="H29" s="1"/>
      <c r="I29" s="2"/>
      <c r="J29" s="6"/>
      <c r="K29" s="6"/>
      <c r="L29" s="6"/>
      <c r="M29" s="6"/>
      <c r="N29" s="6"/>
    </row>
    <row r="30" spans="3:14" x14ac:dyDescent="0.3">
      <c r="C30" s="3" t="s">
        <v>258</v>
      </c>
      <c r="D30" s="80" t="s">
        <v>74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</row>
    <row r="31" spans="3:14" x14ac:dyDescent="0.3">
      <c r="C31" s="252" t="s">
        <v>43</v>
      </c>
      <c r="D31" s="80" t="s">
        <v>84</v>
      </c>
      <c r="E31" s="88"/>
      <c r="F31" s="88"/>
      <c r="G31" s="88"/>
      <c r="H31" s="88"/>
      <c r="I31" s="187"/>
      <c r="J31" s="88"/>
      <c r="K31" s="88"/>
      <c r="L31" s="88"/>
      <c r="M31" s="88"/>
      <c r="N31" s="88"/>
    </row>
    <row r="32" spans="3:14" x14ac:dyDescent="0.3">
      <c r="C32" s="26"/>
      <c r="E32" s="59"/>
      <c r="F32" s="15"/>
      <c r="G32" s="15"/>
      <c r="H32" s="15"/>
      <c r="I32" s="15"/>
      <c r="J32" s="15"/>
      <c r="K32" s="15"/>
      <c r="L32" s="15"/>
      <c r="M32" s="15"/>
      <c r="N32" s="15"/>
    </row>
    <row r="33" spans="3:14" x14ac:dyDescent="0.3">
      <c r="C33" s="37" t="s">
        <v>230</v>
      </c>
      <c r="D33" s="80" t="s">
        <v>74</v>
      </c>
      <c r="E33" s="230"/>
      <c r="F33" s="230"/>
      <c r="G33" s="230"/>
      <c r="H33" s="230"/>
      <c r="I33" s="272"/>
      <c r="J33" s="8"/>
      <c r="K33" s="8"/>
      <c r="L33" s="8"/>
      <c r="M33" s="8"/>
      <c r="N33" s="8"/>
    </row>
    <row r="34" spans="3:14" x14ac:dyDescent="0.3">
      <c r="C34" s="252" t="s">
        <v>265</v>
      </c>
      <c r="D34" s="80" t="s">
        <v>84</v>
      </c>
      <c r="E34" s="253"/>
      <c r="F34" s="253"/>
      <c r="G34" s="253"/>
      <c r="H34" s="253"/>
      <c r="I34" s="273"/>
      <c r="J34" s="253"/>
      <c r="K34" s="253"/>
      <c r="L34" s="253"/>
      <c r="M34" s="253"/>
      <c r="N34" s="253"/>
    </row>
    <row r="35" spans="3:14" x14ac:dyDescent="0.3">
      <c r="C35" s="252" t="s">
        <v>45</v>
      </c>
      <c r="D35" s="80" t="s">
        <v>84</v>
      </c>
      <c r="E35" s="88"/>
      <c r="F35" s="88"/>
      <c r="G35" s="88"/>
      <c r="H35" s="88"/>
      <c r="I35" s="187"/>
      <c r="J35" s="88"/>
      <c r="K35" s="88"/>
      <c r="L35" s="88"/>
      <c r="M35" s="88"/>
      <c r="N35" s="88"/>
    </row>
    <row r="36" spans="3:14" x14ac:dyDescent="0.3">
      <c r="I36" s="3"/>
    </row>
    <row r="37" spans="3:14" x14ac:dyDescent="0.3">
      <c r="C37" s="5" t="s">
        <v>20</v>
      </c>
      <c r="D37" s="80" t="s">
        <v>74</v>
      </c>
      <c r="E37" s="230"/>
      <c r="F37" s="230"/>
      <c r="G37" s="230"/>
      <c r="H37" s="230"/>
      <c r="I37" s="272"/>
      <c r="J37" s="8"/>
      <c r="K37" s="8"/>
      <c r="L37" s="8"/>
      <c r="M37" s="8"/>
      <c r="N37" s="8"/>
    </row>
    <row r="38" spans="3:14" x14ac:dyDescent="0.3"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3:14" x14ac:dyDescent="0.3">
      <c r="C39" s="3" t="s">
        <v>46</v>
      </c>
      <c r="D39" s="80" t="s">
        <v>74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3:14" x14ac:dyDescent="0.3">
      <c r="C40" s="50" t="s">
        <v>267</v>
      </c>
      <c r="D40" s="80" t="s">
        <v>74</v>
      </c>
      <c r="E40" s="23"/>
      <c r="F40" s="23"/>
      <c r="G40" s="23"/>
      <c r="H40" s="23"/>
      <c r="I40" s="24"/>
      <c r="J40" s="11"/>
      <c r="K40" s="11"/>
      <c r="L40" s="11"/>
      <c r="M40" s="11"/>
      <c r="N40" s="11"/>
    </row>
    <row r="41" spans="3:14" x14ac:dyDescent="0.3">
      <c r="C41" s="50" t="s">
        <v>268</v>
      </c>
      <c r="D41" s="81" t="s">
        <v>74</v>
      </c>
      <c r="E41" s="249"/>
      <c r="F41" s="249"/>
      <c r="G41" s="249"/>
      <c r="H41" s="23"/>
      <c r="I41" s="24"/>
      <c r="J41" s="11"/>
      <c r="K41" s="11"/>
      <c r="L41" s="11"/>
      <c r="M41" s="11"/>
      <c r="N41" s="11"/>
    </row>
    <row r="42" spans="3:14" x14ac:dyDescent="0.3">
      <c r="C42" s="77" t="s">
        <v>269</v>
      </c>
      <c r="D42" s="80" t="s">
        <v>74</v>
      </c>
      <c r="E42" s="23"/>
      <c r="F42" s="23"/>
      <c r="G42" s="23"/>
      <c r="H42" s="12"/>
      <c r="I42" s="12"/>
      <c r="J42" s="13"/>
      <c r="K42" s="13"/>
      <c r="L42" s="13"/>
      <c r="M42" s="13"/>
      <c r="N42" s="13"/>
    </row>
    <row r="43" spans="3:14" x14ac:dyDescent="0.3">
      <c r="E43" s="23"/>
      <c r="F43" s="23"/>
      <c r="G43" s="23"/>
      <c r="H43" s="23"/>
      <c r="I43" s="23"/>
      <c r="J43" s="11"/>
      <c r="K43" s="11"/>
      <c r="L43" s="11"/>
      <c r="M43" s="11"/>
      <c r="N43" s="11"/>
    </row>
    <row r="44" spans="3:14" x14ac:dyDescent="0.3">
      <c r="C44" s="5" t="s">
        <v>271</v>
      </c>
      <c r="D44" s="80" t="s">
        <v>84</v>
      </c>
      <c r="E44" s="23"/>
      <c r="F44" s="23"/>
      <c r="G44" s="23"/>
      <c r="H44" s="15"/>
      <c r="I44" s="16"/>
      <c r="J44" s="183"/>
      <c r="K44" s="183"/>
      <c r="L44" s="183"/>
      <c r="M44" s="183"/>
      <c r="N44" s="183"/>
    </row>
    <row r="45" spans="3:14" x14ac:dyDescent="0.3">
      <c r="C45" s="5" t="s">
        <v>270</v>
      </c>
      <c r="D45" s="80" t="s">
        <v>84</v>
      </c>
      <c r="H45" s="15"/>
      <c r="I45" s="16"/>
      <c r="J45" s="183"/>
      <c r="K45" s="183"/>
      <c r="L45" s="183"/>
      <c r="M45" s="183"/>
      <c r="N45" s="183"/>
    </row>
    <row r="46" spans="3:14" x14ac:dyDescent="0.3">
      <c r="I46" s="3"/>
    </row>
    <row r="47" spans="3:14" x14ac:dyDescent="0.3">
      <c r="C47" s="3" t="s">
        <v>262</v>
      </c>
      <c r="D47" s="80" t="s">
        <v>84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x14ac:dyDescent="0.3">
      <c r="C48" s="3" t="s">
        <v>263</v>
      </c>
      <c r="D48" s="80" t="s">
        <v>84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23" s="5" customFormat="1" x14ac:dyDescent="0.3">
      <c r="A49" s="4"/>
      <c r="B49" s="4"/>
      <c r="C49" s="3" t="s">
        <v>47</v>
      </c>
      <c r="D49" s="80" t="s">
        <v>84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4"/>
      <c r="Q49" s="4"/>
      <c r="R49" s="4"/>
      <c r="S49" s="4"/>
      <c r="T49" s="4"/>
      <c r="U49" s="4"/>
      <c r="V49" s="4"/>
      <c r="W49" s="4"/>
    </row>
    <row r="50" spans="1:23" x14ac:dyDescent="0.3">
      <c r="A50" s="5"/>
      <c r="B50" s="5"/>
      <c r="C50" s="3" t="s">
        <v>266</v>
      </c>
      <c r="D50" s="80" t="s">
        <v>84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5"/>
    </row>
    <row r="51" spans="1:23" x14ac:dyDescent="0.3">
      <c r="A51" s="5"/>
      <c r="B51" s="5"/>
      <c r="C51" s="3" t="s">
        <v>264</v>
      </c>
      <c r="D51" s="80" t="s">
        <v>84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5"/>
    </row>
    <row r="52" spans="1:23" x14ac:dyDescent="0.3">
      <c r="A52" s="5"/>
      <c r="B52" s="5"/>
      <c r="C52" s="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5"/>
    </row>
    <row r="53" spans="1:23" x14ac:dyDescent="0.3">
      <c r="A53" s="5"/>
      <c r="B53" s="5"/>
      <c r="C53" s="266" t="s">
        <v>336</v>
      </c>
      <c r="D53" s="26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5"/>
    </row>
    <row r="54" spans="1:23" x14ac:dyDescent="0.3">
      <c r="A54" s="5"/>
      <c r="B54" s="5"/>
      <c r="C54" s="26" t="str">
        <f>+C47</f>
        <v>Common Equity Tier 1 (CET1) Ratio:</v>
      </c>
      <c r="D54" s="80" t="s">
        <v>84</v>
      </c>
      <c r="E54" s="16"/>
      <c r="F54" s="16"/>
      <c r="G54" s="16"/>
      <c r="H54" s="16"/>
      <c r="I54" s="16"/>
      <c r="J54" s="274">
        <v>4.4999999999999998E-2</v>
      </c>
      <c r="K54" s="274">
        <v>5.1249999999999997E-2</v>
      </c>
      <c r="L54" s="274">
        <v>5.7500000000000002E-2</v>
      </c>
      <c r="M54" s="274">
        <v>6.3750000000000001E-2</v>
      </c>
      <c r="N54" s="274">
        <v>7.0000000000000007E-2</v>
      </c>
      <c r="O54" s="5"/>
    </row>
    <row r="55" spans="1:23" x14ac:dyDescent="0.3">
      <c r="A55" s="5"/>
      <c r="B55" s="5"/>
      <c r="C55" s="26" t="str">
        <f t="shared" ref="C55:C58" si="0">+C48</f>
        <v>Tier 1 Capital Ratio:</v>
      </c>
      <c r="D55" s="80" t="s">
        <v>84</v>
      </c>
      <c r="E55" s="16"/>
      <c r="F55" s="16"/>
      <c r="G55" s="16"/>
      <c r="H55" s="16"/>
      <c r="I55" s="16"/>
      <c r="J55" s="274">
        <v>0.06</v>
      </c>
      <c r="K55" s="274">
        <v>6.6250000000000003E-2</v>
      </c>
      <c r="L55" s="274">
        <v>7.2499999999999995E-2</v>
      </c>
      <c r="M55" s="274">
        <v>7.8750000000000001E-2</v>
      </c>
      <c r="N55" s="274">
        <v>8.4999999999999992E-2</v>
      </c>
      <c r="O55" s="5"/>
    </row>
    <row r="56" spans="1:23" x14ac:dyDescent="0.3">
      <c r="A56" s="5"/>
      <c r="B56" s="5"/>
      <c r="C56" s="26" t="str">
        <f t="shared" si="0"/>
        <v>Total Capital Ratio:</v>
      </c>
      <c r="D56" s="80" t="s">
        <v>84</v>
      </c>
      <c r="E56" s="16"/>
      <c r="F56" s="16"/>
      <c r="G56" s="16"/>
      <c r="H56" s="16"/>
      <c r="I56" s="16"/>
      <c r="J56" s="274">
        <v>0.08</v>
      </c>
      <c r="K56" s="274">
        <v>8.6250000000000007E-2</v>
      </c>
      <c r="L56" s="274">
        <v>9.2499999999999999E-2</v>
      </c>
      <c r="M56" s="274">
        <v>9.8750000000000004E-2</v>
      </c>
      <c r="N56" s="274">
        <v>0.10500000000000001</v>
      </c>
      <c r="O56" s="5"/>
    </row>
    <row r="57" spans="1:23" x14ac:dyDescent="0.3">
      <c r="A57" s="5"/>
      <c r="B57" s="5"/>
      <c r="C57" s="26" t="str">
        <f t="shared" si="0"/>
        <v>Leverage Ratio:</v>
      </c>
      <c r="D57" s="80" t="s">
        <v>84</v>
      </c>
      <c r="E57" s="16"/>
      <c r="F57" s="16"/>
      <c r="G57" s="16"/>
      <c r="H57" s="16"/>
      <c r="I57" s="16"/>
      <c r="J57" s="274">
        <v>0.03</v>
      </c>
      <c r="K57" s="274">
        <v>0.03</v>
      </c>
      <c r="L57" s="274">
        <v>0.03</v>
      </c>
      <c r="M57" s="274">
        <v>0.03</v>
      </c>
      <c r="N57" s="274">
        <v>0.03</v>
      </c>
      <c r="O57" s="5"/>
    </row>
    <row r="58" spans="1:23" x14ac:dyDescent="0.3">
      <c r="A58" s="5"/>
      <c r="B58" s="5"/>
      <c r="C58" s="26" t="str">
        <f t="shared" si="0"/>
        <v>Tangible Common Equity (TCE) Ratio:</v>
      </c>
      <c r="D58" s="80" t="s">
        <v>84</v>
      </c>
      <c r="E58" s="16"/>
      <c r="F58" s="16"/>
      <c r="G58" s="16"/>
      <c r="H58" s="16"/>
      <c r="I58" s="16"/>
      <c r="J58" s="274">
        <v>0.03</v>
      </c>
      <c r="K58" s="274">
        <v>0.03</v>
      </c>
      <c r="L58" s="274">
        <v>0.03</v>
      </c>
      <c r="M58" s="274">
        <v>0.03</v>
      </c>
      <c r="N58" s="274">
        <v>0.03</v>
      </c>
      <c r="O58" s="5"/>
    </row>
    <row r="59" spans="1:23" x14ac:dyDescent="0.3">
      <c r="A59" s="5"/>
      <c r="B59" s="5"/>
      <c r="C59" s="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"/>
    </row>
    <row r="60" spans="1:23" x14ac:dyDescent="0.3">
      <c r="A60" s="5"/>
      <c r="B60" s="21"/>
      <c r="C60" s="21"/>
      <c r="D60" s="104"/>
      <c r="E60" s="20" t="str">
        <f>+'Op-Model'!$E$150</f>
        <v>Historical</v>
      </c>
      <c r="F60" s="20"/>
      <c r="G60" s="20"/>
      <c r="H60" s="20"/>
      <c r="I60" s="20"/>
      <c r="J60" s="22" t="str">
        <f>+'Op-Model'!$J$150</f>
        <v>Projected</v>
      </c>
      <c r="K60" s="20"/>
      <c r="L60" s="20"/>
      <c r="M60" s="20"/>
      <c r="N60" s="20"/>
      <c r="O60" s="5"/>
    </row>
    <row r="61" spans="1:23" x14ac:dyDescent="0.3">
      <c r="A61" s="5"/>
      <c r="B61" s="83" t="s">
        <v>397</v>
      </c>
      <c r="C61" s="83"/>
      <c r="D61" s="85" t="str">
        <f>+'Op-Model'!$D$151</f>
        <v>Units:</v>
      </c>
      <c r="E61" s="89">
        <f>+'Op-Model'!$E$151</f>
        <v>40543</v>
      </c>
      <c r="F61" s="89">
        <f>+'Op-Model'!$F$151</f>
        <v>40908</v>
      </c>
      <c r="G61" s="89">
        <f>+'Op-Model'!$G$151</f>
        <v>41274</v>
      </c>
      <c r="H61" s="89">
        <f>+'Op-Model'!$H$151</f>
        <v>41639</v>
      </c>
      <c r="I61" s="90">
        <f>+'Op-Model'!$I$151</f>
        <v>42004</v>
      </c>
      <c r="J61" s="89">
        <f>+'Op-Model'!$J$151</f>
        <v>42369</v>
      </c>
      <c r="K61" s="89">
        <f>+'Op-Model'!$K$151</f>
        <v>42735</v>
      </c>
      <c r="L61" s="89">
        <f>+'Op-Model'!$L$151</f>
        <v>43100</v>
      </c>
      <c r="M61" s="89">
        <f>+'Op-Model'!$M$151</f>
        <v>43465</v>
      </c>
      <c r="N61" s="89">
        <f>+'Op-Model'!$N$151</f>
        <v>43830</v>
      </c>
      <c r="O61" s="5"/>
    </row>
    <row r="62" spans="1:23" x14ac:dyDescent="0.3">
      <c r="A62" s="5"/>
      <c r="B62" s="5"/>
      <c r="C62" s="3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5"/>
    </row>
    <row r="63" spans="1:23" x14ac:dyDescent="0.3">
      <c r="A63" s="5"/>
      <c r="B63" s="5"/>
      <c r="C63" s="41" t="s">
        <v>288</v>
      </c>
      <c r="D63" s="261">
        <v>0.1</v>
      </c>
      <c r="F63" s="16"/>
      <c r="G63" s="16"/>
      <c r="H63" s="16"/>
      <c r="I63" s="16"/>
      <c r="J63" s="16"/>
      <c r="K63" s="16"/>
      <c r="L63" s="16"/>
      <c r="M63" s="16"/>
      <c r="N63" s="16"/>
      <c r="O63" s="5"/>
    </row>
    <row r="64" spans="1:23" x14ac:dyDescent="0.3">
      <c r="A64" s="5"/>
      <c r="B64" s="5"/>
      <c r="C64" s="41" t="s">
        <v>294</v>
      </c>
      <c r="D64" s="261">
        <v>0.5</v>
      </c>
      <c r="F64" s="16"/>
      <c r="G64" s="16"/>
      <c r="H64" s="16"/>
      <c r="I64" s="16"/>
      <c r="J64" s="16"/>
      <c r="K64" s="16"/>
      <c r="L64" s="16"/>
      <c r="M64" s="16"/>
      <c r="N64" s="16"/>
      <c r="O64" s="5"/>
    </row>
    <row r="65" spans="1:15" x14ac:dyDescent="0.3">
      <c r="A65" s="5"/>
      <c r="B65" s="5"/>
      <c r="C65" s="3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5"/>
    </row>
    <row r="66" spans="1:15" x14ac:dyDescent="0.3">
      <c r="A66" s="5"/>
      <c r="B66" s="5"/>
      <c r="C66" s="5" t="s">
        <v>289</v>
      </c>
      <c r="D66" s="80" t="s">
        <v>74</v>
      </c>
      <c r="E66" s="46"/>
      <c r="F66" s="46"/>
      <c r="G66" s="76"/>
      <c r="H66" s="76"/>
      <c r="I66" s="263"/>
      <c r="J66" s="45"/>
      <c r="K66" s="45"/>
      <c r="L66" s="45"/>
      <c r="M66" s="45"/>
      <c r="N66" s="45"/>
      <c r="O66" s="5"/>
    </row>
    <row r="67" spans="1:15" x14ac:dyDescent="0.3">
      <c r="A67" s="5"/>
      <c r="B67" s="5"/>
      <c r="C67" s="50" t="s">
        <v>291</v>
      </c>
      <c r="D67" s="80" t="s">
        <v>84</v>
      </c>
      <c r="E67" s="15"/>
      <c r="F67" s="15"/>
      <c r="G67" s="15"/>
      <c r="H67" s="15"/>
      <c r="I67" s="16"/>
      <c r="J67" s="143"/>
      <c r="K67" s="143"/>
      <c r="L67" s="143"/>
      <c r="M67" s="143"/>
      <c r="N67" s="143"/>
      <c r="O67" s="5"/>
    </row>
    <row r="68" spans="1:15" x14ac:dyDescent="0.3">
      <c r="A68" s="5"/>
      <c r="B68" s="5"/>
      <c r="E68" s="23"/>
      <c r="F68" s="23"/>
      <c r="G68" s="23"/>
      <c r="H68" s="23"/>
      <c r="I68" s="23"/>
      <c r="J68" s="16"/>
      <c r="K68" s="16"/>
      <c r="L68" s="16"/>
      <c r="M68" s="16"/>
      <c r="N68" s="16"/>
      <c r="O68" s="5"/>
    </row>
    <row r="69" spans="1:15" x14ac:dyDescent="0.3">
      <c r="A69" s="5"/>
      <c r="B69" s="5"/>
      <c r="C69" s="5" t="s">
        <v>290</v>
      </c>
      <c r="D69" s="80" t="s">
        <v>74</v>
      </c>
      <c r="E69" s="23"/>
      <c r="F69" s="23"/>
      <c r="G69" s="23"/>
      <c r="H69" s="23"/>
      <c r="I69" s="24"/>
      <c r="J69" s="14"/>
      <c r="K69" s="14"/>
      <c r="L69" s="14"/>
      <c r="M69" s="14"/>
      <c r="N69" s="14"/>
      <c r="O69" s="5"/>
    </row>
    <row r="70" spans="1:15" x14ac:dyDescent="0.3">
      <c r="A70" s="5"/>
      <c r="B70" s="5"/>
      <c r="C70" s="50" t="s">
        <v>291</v>
      </c>
      <c r="D70" s="80" t="s">
        <v>84</v>
      </c>
      <c r="E70" s="15"/>
      <c r="F70" s="15"/>
      <c r="G70" s="15"/>
      <c r="H70" s="15"/>
      <c r="I70" s="16"/>
      <c r="J70" s="143"/>
      <c r="K70" s="143"/>
      <c r="L70" s="143"/>
      <c r="M70" s="143"/>
      <c r="N70" s="143"/>
      <c r="O70" s="5"/>
    </row>
    <row r="71" spans="1:15" x14ac:dyDescent="0.3">
      <c r="A71" s="5"/>
      <c r="B71" s="5"/>
      <c r="C71" s="3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5"/>
    </row>
    <row r="72" spans="1:15" x14ac:dyDescent="0.3">
      <c r="A72" s="5"/>
      <c r="B72" s="5"/>
      <c r="C72" s="53" t="s">
        <v>273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5"/>
    </row>
    <row r="73" spans="1:15" x14ac:dyDescent="0.3">
      <c r="A73" s="5"/>
      <c r="B73" s="5"/>
      <c r="C73" s="26" t="s">
        <v>276</v>
      </c>
      <c r="D73" s="80" t="s">
        <v>74</v>
      </c>
      <c r="E73" s="16"/>
      <c r="F73" s="16"/>
      <c r="G73" s="118"/>
      <c r="H73" s="118"/>
      <c r="I73" s="177"/>
      <c r="J73" s="118"/>
      <c r="K73" s="118"/>
      <c r="L73" s="118"/>
      <c r="M73" s="118"/>
      <c r="N73" s="118"/>
      <c r="O73" s="5"/>
    </row>
    <row r="74" spans="1:15" x14ac:dyDescent="0.3">
      <c r="A74" s="5"/>
      <c r="B74" s="5"/>
      <c r="C74" s="26" t="s">
        <v>277</v>
      </c>
      <c r="D74" s="80" t="s">
        <v>74</v>
      </c>
      <c r="E74" s="16"/>
      <c r="F74" s="16"/>
      <c r="G74" s="23"/>
      <c r="H74" s="23"/>
      <c r="I74" s="24"/>
      <c r="J74" s="141"/>
      <c r="K74" s="191"/>
      <c r="L74" s="191"/>
      <c r="M74" s="191"/>
      <c r="N74" s="191"/>
      <c r="O74" s="5"/>
    </row>
    <row r="75" spans="1:15" x14ac:dyDescent="0.3">
      <c r="A75" s="5"/>
      <c r="B75" s="5"/>
      <c r="C75" s="26" t="s">
        <v>278</v>
      </c>
      <c r="D75" s="80" t="s">
        <v>74</v>
      </c>
      <c r="E75" s="16"/>
      <c r="F75" s="16"/>
      <c r="G75" s="118"/>
      <c r="H75" s="23"/>
      <c r="I75" s="24"/>
      <c r="J75" s="141"/>
      <c r="K75" s="191"/>
      <c r="L75" s="191"/>
      <c r="M75" s="191"/>
      <c r="N75" s="191"/>
      <c r="O75" s="5"/>
    </row>
    <row r="76" spans="1:15" x14ac:dyDescent="0.3">
      <c r="A76" s="5"/>
      <c r="B76" s="5"/>
      <c r="C76" s="26" t="s">
        <v>280</v>
      </c>
      <c r="D76" s="81" t="s">
        <v>74</v>
      </c>
      <c r="E76" s="16"/>
      <c r="F76" s="16"/>
      <c r="G76" s="23"/>
      <c r="H76" s="23"/>
      <c r="I76" s="24"/>
      <c r="J76" s="141"/>
      <c r="K76" s="191"/>
      <c r="L76" s="191"/>
      <c r="M76" s="191"/>
      <c r="N76" s="191"/>
      <c r="O76" s="5"/>
    </row>
    <row r="77" spans="1:15" x14ac:dyDescent="0.3">
      <c r="A77" s="5"/>
      <c r="B77" s="5"/>
      <c r="C77" s="79" t="s">
        <v>274</v>
      </c>
      <c r="D77" s="80" t="s">
        <v>74</v>
      </c>
      <c r="E77" s="259"/>
      <c r="F77" s="259"/>
      <c r="G77" s="12"/>
      <c r="H77" s="12"/>
      <c r="I77" s="12"/>
      <c r="J77" s="12"/>
      <c r="K77" s="12"/>
      <c r="L77" s="12"/>
      <c r="M77" s="12"/>
      <c r="N77" s="12"/>
      <c r="O77" s="5"/>
    </row>
    <row r="78" spans="1:15" x14ac:dyDescent="0.3">
      <c r="A78" s="5"/>
      <c r="B78" s="5"/>
      <c r="C78" s="3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5"/>
    </row>
    <row r="79" spans="1:15" x14ac:dyDescent="0.3">
      <c r="A79" s="5"/>
      <c r="B79" s="5"/>
      <c r="C79" s="55" t="s">
        <v>275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5"/>
    </row>
    <row r="80" spans="1:15" x14ac:dyDescent="0.3">
      <c r="A80" s="5"/>
      <c r="B80" s="5"/>
      <c r="C80" s="26" t="s">
        <v>281</v>
      </c>
      <c r="D80" s="80" t="s">
        <v>74</v>
      </c>
      <c r="E80" s="16"/>
      <c r="F80" s="16"/>
      <c r="G80" s="118"/>
      <c r="H80" s="118"/>
      <c r="I80" s="177"/>
      <c r="J80" s="118"/>
      <c r="K80" s="118"/>
      <c r="L80" s="118"/>
      <c r="M80" s="118"/>
      <c r="N80" s="118"/>
      <c r="O80" s="5"/>
    </row>
    <row r="81" spans="1:17" x14ac:dyDescent="0.3">
      <c r="A81" s="5"/>
      <c r="B81" s="5"/>
      <c r="C81" s="26" t="s">
        <v>282</v>
      </c>
      <c r="D81" s="80" t="s">
        <v>74</v>
      </c>
      <c r="E81" s="16"/>
      <c r="F81" s="16"/>
      <c r="G81" s="23"/>
      <c r="H81" s="23"/>
      <c r="I81" s="24"/>
      <c r="J81" s="141"/>
      <c r="K81" s="191"/>
      <c r="L81" s="191"/>
      <c r="M81" s="191"/>
      <c r="N81" s="191"/>
      <c r="O81" s="5"/>
    </row>
    <row r="82" spans="1:17" x14ac:dyDescent="0.3">
      <c r="A82" s="5"/>
      <c r="B82" s="5"/>
      <c r="C82" s="26" t="s">
        <v>283</v>
      </c>
      <c r="D82" s="80" t="s">
        <v>74</v>
      </c>
      <c r="E82" s="16"/>
      <c r="F82" s="16"/>
      <c r="G82" s="23"/>
      <c r="H82" s="23"/>
      <c r="I82" s="24"/>
      <c r="J82" s="141"/>
      <c r="K82" s="191"/>
      <c r="L82" s="191"/>
      <c r="M82" s="191"/>
      <c r="N82" s="191"/>
      <c r="O82" s="5"/>
    </row>
    <row r="83" spans="1:17" x14ac:dyDescent="0.3">
      <c r="A83" s="5"/>
      <c r="B83" s="5"/>
      <c r="C83" s="26" t="s">
        <v>284</v>
      </c>
      <c r="D83" s="80" t="s">
        <v>74</v>
      </c>
      <c r="E83" s="16"/>
      <c r="F83" s="16"/>
      <c r="G83" s="255"/>
      <c r="H83" s="255"/>
      <c r="I83" s="258"/>
      <c r="J83" s="255"/>
      <c r="K83" s="255"/>
      <c r="L83" s="255"/>
      <c r="M83" s="255"/>
      <c r="N83" s="255"/>
      <c r="O83" s="5"/>
    </row>
    <row r="84" spans="1:17" x14ac:dyDescent="0.3">
      <c r="A84" s="5"/>
      <c r="B84" s="5"/>
      <c r="C84" s="26" t="s">
        <v>285</v>
      </c>
      <c r="D84" s="80" t="s">
        <v>74</v>
      </c>
      <c r="E84" s="16"/>
      <c r="F84" s="16"/>
      <c r="G84" s="23"/>
      <c r="H84" s="23"/>
      <c r="I84" s="24"/>
      <c r="J84" s="141"/>
      <c r="K84" s="191"/>
      <c r="L84" s="191"/>
      <c r="M84" s="191"/>
      <c r="N84" s="191"/>
      <c r="O84" s="5"/>
    </row>
    <row r="85" spans="1:17" x14ac:dyDescent="0.3">
      <c r="A85" s="5"/>
      <c r="B85" s="5"/>
      <c r="C85" s="26" t="s">
        <v>286</v>
      </c>
      <c r="D85" s="80" t="s">
        <v>74</v>
      </c>
      <c r="E85" s="16"/>
      <c r="F85" s="16"/>
      <c r="G85" s="23"/>
      <c r="H85" s="23"/>
      <c r="I85" s="24"/>
      <c r="J85" s="141"/>
      <c r="K85" s="191"/>
      <c r="L85" s="191"/>
      <c r="M85" s="191"/>
      <c r="N85" s="191"/>
      <c r="O85" s="5"/>
    </row>
    <row r="86" spans="1:17" x14ac:dyDescent="0.3">
      <c r="A86" s="5"/>
      <c r="B86" s="5"/>
      <c r="C86" s="26" t="s">
        <v>287</v>
      </c>
      <c r="D86" s="80" t="s">
        <v>74</v>
      </c>
      <c r="E86" s="16"/>
      <c r="F86" s="16"/>
      <c r="G86" s="23"/>
      <c r="H86" s="23"/>
      <c r="I86" s="24"/>
      <c r="J86" s="141"/>
      <c r="K86" s="191"/>
      <c r="L86" s="191"/>
      <c r="M86" s="191"/>
      <c r="N86" s="191"/>
      <c r="O86" s="5"/>
    </row>
    <row r="87" spans="1:17" x14ac:dyDescent="0.3">
      <c r="A87" s="5"/>
      <c r="B87" s="5"/>
      <c r="C87" s="198" t="s">
        <v>293</v>
      </c>
      <c r="D87" s="81" t="s">
        <v>74</v>
      </c>
      <c r="E87" s="260"/>
      <c r="F87" s="260"/>
      <c r="G87" s="152"/>
      <c r="H87" s="152"/>
      <c r="I87" s="193"/>
      <c r="J87" s="152"/>
      <c r="K87" s="152"/>
      <c r="L87" s="152"/>
      <c r="M87" s="152"/>
      <c r="N87" s="152"/>
      <c r="O87" s="5"/>
    </row>
    <row r="88" spans="1:17" x14ac:dyDescent="0.3">
      <c r="A88" s="5"/>
      <c r="B88" s="5"/>
      <c r="C88" s="31" t="s">
        <v>279</v>
      </c>
      <c r="D88" s="80" t="s">
        <v>74</v>
      </c>
      <c r="E88" s="16"/>
      <c r="F88" s="16"/>
      <c r="G88" s="229"/>
      <c r="H88" s="229"/>
      <c r="I88" s="229"/>
      <c r="J88" s="229"/>
      <c r="K88" s="229"/>
      <c r="L88" s="229"/>
      <c r="M88" s="229"/>
      <c r="N88" s="229"/>
      <c r="O88" s="5"/>
    </row>
    <row r="89" spans="1:17" x14ac:dyDescent="0.3">
      <c r="A89" s="5"/>
      <c r="B89" s="5"/>
      <c r="C89" s="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5"/>
    </row>
    <row r="90" spans="1:17" x14ac:dyDescent="0.3">
      <c r="A90" s="5"/>
      <c r="B90" s="5"/>
      <c r="C90" s="3" t="s">
        <v>229</v>
      </c>
      <c r="D90" s="80" t="s">
        <v>84</v>
      </c>
      <c r="E90" s="67"/>
      <c r="F90" s="67"/>
      <c r="G90" s="16"/>
      <c r="H90" s="16"/>
      <c r="I90" s="16"/>
      <c r="J90" s="268"/>
      <c r="K90" s="268"/>
      <c r="L90" s="268"/>
      <c r="M90" s="268"/>
      <c r="N90" s="268"/>
      <c r="O90" s="16"/>
      <c r="P90" s="16"/>
      <c r="Q90" s="16"/>
    </row>
    <row r="91" spans="1:17" x14ac:dyDescent="0.3">
      <c r="A91" s="5"/>
      <c r="B91" s="5"/>
      <c r="C91" s="3" t="s">
        <v>292</v>
      </c>
      <c r="D91" s="80" t="s">
        <v>84</v>
      </c>
      <c r="E91" s="67"/>
      <c r="F91" s="67"/>
      <c r="G91" s="67"/>
      <c r="H91" s="67"/>
      <c r="I91" s="67"/>
      <c r="J91" s="16"/>
      <c r="K91" s="16"/>
      <c r="L91" s="16"/>
      <c r="M91" s="16"/>
      <c r="N91" s="16"/>
      <c r="O91" s="16"/>
      <c r="P91" s="16"/>
      <c r="Q91" s="16"/>
    </row>
    <row r="92" spans="1:17" x14ac:dyDescent="0.3">
      <c r="A92" s="5"/>
      <c r="B92" s="5"/>
      <c r="C92" s="3"/>
      <c r="E92" s="16"/>
      <c r="F92" s="16"/>
      <c r="G92" s="16"/>
      <c r="H92" s="16"/>
      <c r="I92" s="67"/>
      <c r="J92" s="16"/>
      <c r="K92" s="16"/>
      <c r="L92" s="16"/>
      <c r="M92" s="16"/>
      <c r="N92" s="16"/>
      <c r="O92" s="16"/>
      <c r="P92" s="16"/>
      <c r="Q92" s="16"/>
    </row>
    <row r="93" spans="1:17" x14ac:dyDescent="0.3">
      <c r="A93" s="5"/>
      <c r="B93" s="5"/>
      <c r="C93" s="3" t="s">
        <v>337</v>
      </c>
      <c r="D93" s="80" t="s">
        <v>84</v>
      </c>
      <c r="E93" s="16"/>
      <c r="F93" s="16"/>
      <c r="G93" s="16"/>
      <c r="H93" s="16"/>
      <c r="I93" s="67"/>
      <c r="J93" s="67">
        <v>0.6</v>
      </c>
      <c r="K93" s="67">
        <v>0.7</v>
      </c>
      <c r="L93" s="67">
        <v>0.8</v>
      </c>
      <c r="M93" s="67">
        <v>0.9</v>
      </c>
      <c r="N93" s="67">
        <v>1</v>
      </c>
      <c r="O93" s="16"/>
      <c r="P93" s="16"/>
      <c r="Q93" s="16"/>
    </row>
    <row r="94" spans="1:17" x14ac:dyDescent="0.3">
      <c r="A94" s="5"/>
      <c r="B94" s="5"/>
      <c r="C94" s="3"/>
      <c r="E94" s="16"/>
      <c r="F94" s="16"/>
      <c r="G94" s="16"/>
      <c r="H94" s="16"/>
      <c r="I94" s="67"/>
      <c r="J94" s="16"/>
      <c r="K94" s="16"/>
      <c r="L94" s="16"/>
      <c r="M94" s="16"/>
      <c r="N94" s="16"/>
      <c r="O94" s="16"/>
      <c r="P94" s="16"/>
      <c r="Q94" s="16"/>
    </row>
    <row r="95" spans="1:17" x14ac:dyDescent="0.3">
      <c r="A95" s="5"/>
      <c r="B95" s="21"/>
      <c r="C95" s="21"/>
      <c r="D95" s="104"/>
      <c r="E95" s="20" t="str">
        <f>+'Op-Model'!$E$150</f>
        <v>Historical</v>
      </c>
      <c r="F95" s="20"/>
      <c r="G95" s="20"/>
      <c r="H95" s="20"/>
      <c r="I95" s="20"/>
      <c r="J95" s="22" t="str">
        <f>+'Op-Model'!$J$150</f>
        <v>Projected</v>
      </c>
      <c r="K95" s="20"/>
      <c r="L95" s="20"/>
      <c r="M95" s="20"/>
      <c r="N95" s="20"/>
      <c r="O95" s="16"/>
      <c r="P95" s="16"/>
      <c r="Q95" s="16"/>
    </row>
    <row r="96" spans="1:17" x14ac:dyDescent="0.3">
      <c r="A96" s="5"/>
      <c r="B96" s="83" t="s">
        <v>398</v>
      </c>
      <c r="C96" s="83"/>
      <c r="D96" s="85" t="str">
        <f>+'Op-Model'!$D$151</f>
        <v>Units:</v>
      </c>
      <c r="E96" s="89">
        <f>+'Op-Model'!$E$151</f>
        <v>40543</v>
      </c>
      <c r="F96" s="89">
        <f>+'Op-Model'!$F$151</f>
        <v>40908</v>
      </c>
      <c r="G96" s="89">
        <f>+'Op-Model'!$G$151</f>
        <v>41274</v>
      </c>
      <c r="H96" s="89">
        <f>+'Op-Model'!$H$151</f>
        <v>41639</v>
      </c>
      <c r="I96" s="90">
        <f>+'Op-Model'!$I$151</f>
        <v>42004</v>
      </c>
      <c r="J96" s="89">
        <f>+'Op-Model'!$J$151</f>
        <v>42369</v>
      </c>
      <c r="K96" s="89">
        <f>+'Op-Model'!$K$151</f>
        <v>42735</v>
      </c>
      <c r="L96" s="89">
        <f>+'Op-Model'!$L$151</f>
        <v>43100</v>
      </c>
      <c r="M96" s="89">
        <f>+'Op-Model'!$M$151</f>
        <v>43465</v>
      </c>
      <c r="N96" s="89">
        <f>+'Op-Model'!$N$151</f>
        <v>43830</v>
      </c>
      <c r="O96" s="16"/>
      <c r="P96" s="16"/>
      <c r="Q96" s="16"/>
    </row>
    <row r="97" spans="1:17" x14ac:dyDescent="0.3">
      <c r="A97" s="5"/>
      <c r="B97" s="5"/>
      <c r="C97" s="3"/>
      <c r="E97" s="16"/>
      <c r="F97" s="16"/>
      <c r="G97" s="16"/>
      <c r="H97" s="16"/>
      <c r="I97" s="67"/>
      <c r="J97" s="16"/>
      <c r="K97" s="16"/>
      <c r="L97" s="16"/>
      <c r="M97" s="16"/>
      <c r="N97" s="16"/>
      <c r="O97" s="16"/>
      <c r="P97" s="16"/>
      <c r="Q97" s="16"/>
    </row>
    <row r="98" spans="1:17" x14ac:dyDescent="0.3">
      <c r="A98" s="5"/>
      <c r="B98" s="5"/>
      <c r="C98" s="266" t="s">
        <v>332</v>
      </c>
      <c r="D98" s="267"/>
      <c r="E98" s="16"/>
      <c r="F98" s="266" t="s">
        <v>333</v>
      </c>
      <c r="G98" s="267"/>
      <c r="H98" s="267"/>
      <c r="I98" s="267"/>
      <c r="J98" s="267"/>
      <c r="K98" s="16"/>
      <c r="L98" s="16"/>
      <c r="M98" s="16"/>
      <c r="N98" s="16"/>
      <c r="O98" s="16"/>
      <c r="P98" s="16"/>
      <c r="Q98" s="16"/>
    </row>
    <row r="99" spans="1:17" x14ac:dyDescent="0.3">
      <c r="A99" s="5"/>
      <c r="B99" s="5"/>
      <c r="C99" s="50" t="s">
        <v>329</v>
      </c>
      <c r="D99" s="265">
        <v>0.9</v>
      </c>
      <c r="F99" s="26" t="s">
        <v>307</v>
      </c>
      <c r="H99" s="16"/>
      <c r="J99" s="261">
        <v>0</v>
      </c>
      <c r="K99" s="16"/>
      <c r="L99" s="16"/>
      <c r="M99" s="16"/>
      <c r="N99" s="16"/>
      <c r="O99" s="16"/>
      <c r="P99" s="16"/>
      <c r="Q99" s="16"/>
    </row>
    <row r="100" spans="1:17" x14ac:dyDescent="0.3">
      <c r="A100" s="5"/>
      <c r="B100" s="5"/>
      <c r="C100" s="50" t="s">
        <v>330</v>
      </c>
      <c r="D100" s="261">
        <v>0.8</v>
      </c>
      <c r="F100" s="50" t="s">
        <v>306</v>
      </c>
      <c r="H100" s="16"/>
      <c r="J100" s="261">
        <v>0.05</v>
      </c>
      <c r="K100" s="16"/>
      <c r="L100" s="16"/>
      <c r="M100" s="16"/>
      <c r="N100" s="16"/>
      <c r="O100" s="16"/>
      <c r="P100" s="16"/>
      <c r="Q100" s="16"/>
    </row>
    <row r="101" spans="1:17" x14ac:dyDescent="0.3">
      <c r="A101" s="5"/>
      <c r="B101" s="5"/>
      <c r="C101" s="26" t="s">
        <v>331</v>
      </c>
      <c r="D101" s="261">
        <v>0.5</v>
      </c>
      <c r="F101" s="50" t="s">
        <v>305</v>
      </c>
      <c r="H101" s="16"/>
      <c r="J101" s="261">
        <v>0.2</v>
      </c>
      <c r="K101" s="16"/>
      <c r="L101" s="16"/>
      <c r="M101" s="16"/>
      <c r="N101" s="16"/>
      <c r="O101" s="16"/>
      <c r="P101" s="16"/>
      <c r="Q101" s="16"/>
    </row>
    <row r="102" spans="1:17" x14ac:dyDescent="0.3">
      <c r="A102" s="5"/>
      <c r="B102" s="5"/>
      <c r="C102" s="3"/>
      <c r="E102" s="16"/>
      <c r="F102" s="50" t="s">
        <v>304</v>
      </c>
      <c r="H102" s="16"/>
      <c r="J102" s="261">
        <v>0.5</v>
      </c>
      <c r="K102" s="16"/>
      <c r="L102" s="16"/>
      <c r="M102" s="16"/>
      <c r="N102" s="16"/>
      <c r="O102" s="16"/>
      <c r="P102" s="16"/>
      <c r="Q102" s="16"/>
    </row>
    <row r="103" spans="1:17" x14ac:dyDescent="0.3">
      <c r="A103" s="5"/>
      <c r="B103" s="5"/>
      <c r="E103" s="16"/>
      <c r="F103" s="50" t="s">
        <v>302</v>
      </c>
      <c r="H103" s="16"/>
      <c r="J103" s="261">
        <v>0.65</v>
      </c>
      <c r="K103" s="16"/>
      <c r="L103" s="16"/>
      <c r="M103" s="16"/>
      <c r="N103" s="16"/>
      <c r="O103" s="16"/>
      <c r="P103" s="16"/>
      <c r="Q103" s="16"/>
    </row>
    <row r="104" spans="1:17" x14ac:dyDescent="0.3">
      <c r="A104" s="5"/>
      <c r="B104" s="5"/>
      <c r="E104" s="16"/>
      <c r="F104" s="50" t="s">
        <v>303</v>
      </c>
      <c r="H104" s="16"/>
      <c r="J104" s="261">
        <v>0.85</v>
      </c>
      <c r="K104" s="16"/>
      <c r="L104" s="16"/>
      <c r="M104" s="16"/>
      <c r="N104" s="16"/>
      <c r="O104" s="16"/>
      <c r="P104" s="16"/>
      <c r="Q104" s="16"/>
    </row>
    <row r="105" spans="1:17" x14ac:dyDescent="0.3">
      <c r="A105" s="5"/>
      <c r="B105" s="5"/>
      <c r="E105" s="16"/>
      <c r="F105" s="50" t="s">
        <v>308</v>
      </c>
      <c r="H105" s="16"/>
      <c r="J105" s="261">
        <v>0.85</v>
      </c>
      <c r="K105" s="16"/>
      <c r="L105" s="16"/>
      <c r="M105" s="16"/>
      <c r="N105" s="16"/>
      <c r="O105" s="16"/>
      <c r="P105" s="16"/>
      <c r="Q105" s="16"/>
    </row>
    <row r="106" spans="1:17" x14ac:dyDescent="0.3">
      <c r="A106" s="5"/>
      <c r="B106" s="5"/>
      <c r="E106" s="16"/>
      <c r="F106" s="26" t="s">
        <v>309</v>
      </c>
      <c r="H106" s="16"/>
      <c r="J106" s="261">
        <v>0.05</v>
      </c>
      <c r="K106" s="16"/>
      <c r="L106" s="16"/>
      <c r="M106" s="16"/>
      <c r="N106" s="16"/>
      <c r="O106" s="16"/>
      <c r="P106" s="16"/>
      <c r="Q106" s="16"/>
    </row>
    <row r="107" spans="1:17" x14ac:dyDescent="0.3">
      <c r="A107" s="5"/>
      <c r="B107" s="5"/>
      <c r="C107" s="3"/>
      <c r="E107" s="16"/>
      <c r="F107" s="16"/>
      <c r="G107" s="16"/>
      <c r="H107" s="16"/>
      <c r="I107" s="67"/>
      <c r="J107" s="16"/>
      <c r="K107" s="16"/>
      <c r="L107" s="16"/>
      <c r="M107" s="16"/>
      <c r="N107" s="16"/>
      <c r="O107" s="16"/>
      <c r="P107" s="16"/>
      <c r="Q107" s="16"/>
    </row>
    <row r="108" spans="1:17" x14ac:dyDescent="0.3">
      <c r="A108" s="5"/>
      <c r="B108" s="5"/>
      <c r="C108" s="3" t="s">
        <v>295</v>
      </c>
      <c r="E108" s="16"/>
      <c r="F108" s="16"/>
      <c r="G108" s="16"/>
      <c r="H108" s="16"/>
      <c r="I108" s="67"/>
      <c r="J108" s="16"/>
      <c r="K108" s="16"/>
      <c r="L108" s="16"/>
      <c r="M108" s="16"/>
      <c r="N108" s="16"/>
      <c r="O108" s="16"/>
      <c r="P108" s="16"/>
      <c r="Q108" s="16"/>
    </row>
    <row r="109" spans="1:17" x14ac:dyDescent="0.3">
      <c r="A109" s="5"/>
      <c r="B109" s="5"/>
      <c r="C109" s="26" t="s">
        <v>258</v>
      </c>
      <c r="D109" s="80" t="s">
        <v>74</v>
      </c>
      <c r="E109" s="45"/>
      <c r="F109" s="45"/>
      <c r="G109" s="45"/>
      <c r="H109" s="45"/>
      <c r="I109" s="242"/>
      <c r="J109" s="45"/>
      <c r="K109" s="45"/>
      <c r="L109" s="45"/>
      <c r="M109" s="45"/>
      <c r="N109" s="45"/>
      <c r="O109" s="16"/>
      <c r="P109" s="16"/>
      <c r="Q109" s="16"/>
    </row>
    <row r="110" spans="1:17" x14ac:dyDescent="0.3">
      <c r="A110" s="5"/>
      <c r="B110" s="5"/>
      <c r="C110" s="26" t="s">
        <v>296</v>
      </c>
      <c r="D110" s="80" t="s">
        <v>74</v>
      </c>
      <c r="E110" s="23"/>
      <c r="F110" s="23"/>
      <c r="G110" s="23"/>
      <c r="H110" s="23"/>
      <c r="I110" s="24"/>
      <c r="J110" s="141"/>
      <c r="K110" s="191"/>
      <c r="L110" s="191"/>
      <c r="M110" s="191"/>
      <c r="N110" s="191"/>
      <c r="O110" s="16"/>
      <c r="P110" s="16"/>
      <c r="Q110" s="16"/>
    </row>
    <row r="111" spans="1:17" x14ac:dyDescent="0.3">
      <c r="A111" s="5"/>
      <c r="B111" s="5"/>
      <c r="C111" s="26" t="s">
        <v>297</v>
      </c>
      <c r="D111" s="80" t="s">
        <v>74</v>
      </c>
      <c r="E111" s="255"/>
      <c r="F111" s="255"/>
      <c r="G111" s="255"/>
      <c r="H111" s="255"/>
      <c r="I111" s="258"/>
      <c r="J111" s="255"/>
      <c r="K111" s="255"/>
      <c r="L111" s="255"/>
      <c r="M111" s="255"/>
      <c r="N111" s="255"/>
      <c r="O111" s="16"/>
      <c r="P111" s="16"/>
      <c r="Q111" s="16"/>
    </row>
    <row r="112" spans="1:17" x14ac:dyDescent="0.3">
      <c r="A112" s="5"/>
      <c r="B112" s="5"/>
      <c r="C112" s="26" t="s">
        <v>298</v>
      </c>
      <c r="D112" s="80" t="s">
        <v>74</v>
      </c>
      <c r="E112" s="118"/>
      <c r="F112" s="118"/>
      <c r="G112" s="118"/>
      <c r="H112" s="118"/>
      <c r="I112" s="177"/>
      <c r="J112" s="118"/>
      <c r="K112" s="118"/>
      <c r="L112" s="118"/>
      <c r="M112" s="118"/>
      <c r="N112" s="118"/>
      <c r="O112" s="16"/>
      <c r="P112" s="16"/>
      <c r="Q112" s="16"/>
    </row>
    <row r="113" spans="1:17" x14ac:dyDescent="0.3">
      <c r="A113" s="5"/>
      <c r="B113" s="5"/>
      <c r="C113" s="26" t="s">
        <v>299</v>
      </c>
      <c r="D113" s="81" t="s">
        <v>74</v>
      </c>
      <c r="E113" s="249"/>
      <c r="F113" s="249"/>
      <c r="G113" s="249"/>
      <c r="H113" s="249"/>
      <c r="I113" s="262"/>
      <c r="J113" s="245"/>
      <c r="K113" s="246"/>
      <c r="L113" s="246"/>
      <c r="M113" s="246"/>
      <c r="N113" s="246"/>
      <c r="O113" s="16"/>
      <c r="P113" s="16"/>
      <c r="Q113" s="16"/>
    </row>
    <row r="114" spans="1:17" x14ac:dyDescent="0.3">
      <c r="A114" s="5"/>
      <c r="B114" s="5"/>
      <c r="C114" s="79" t="s">
        <v>300</v>
      </c>
      <c r="D114" s="80" t="s">
        <v>74</v>
      </c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16"/>
      <c r="P114" s="16"/>
      <c r="Q114" s="16"/>
    </row>
    <row r="115" spans="1:17" x14ac:dyDescent="0.3">
      <c r="A115" s="5"/>
      <c r="B115" s="5"/>
      <c r="C115" s="3"/>
      <c r="E115" s="16"/>
      <c r="F115" s="16"/>
      <c r="G115" s="16"/>
      <c r="H115" s="16"/>
      <c r="I115" s="67"/>
      <c r="J115" s="16"/>
      <c r="K115" s="16"/>
      <c r="L115" s="16"/>
      <c r="M115" s="16"/>
      <c r="N115" s="16"/>
      <c r="O115" s="16"/>
      <c r="P115" s="16"/>
      <c r="Q115" s="16"/>
    </row>
    <row r="116" spans="1:17" x14ac:dyDescent="0.3">
      <c r="A116" s="5"/>
      <c r="B116" s="5"/>
      <c r="C116" s="55" t="s">
        <v>301</v>
      </c>
      <c r="E116" s="16"/>
      <c r="F116" s="16"/>
      <c r="G116" s="16"/>
      <c r="H116" s="16"/>
      <c r="I116" s="67"/>
      <c r="J116" s="16"/>
      <c r="K116" s="16"/>
      <c r="L116" s="16"/>
      <c r="M116" s="16"/>
      <c r="N116" s="16"/>
      <c r="O116" s="16"/>
      <c r="P116" s="16"/>
      <c r="Q116" s="16"/>
    </row>
    <row r="117" spans="1:17" x14ac:dyDescent="0.3">
      <c r="A117" s="5"/>
      <c r="B117" s="5"/>
      <c r="C117" s="26" t="s">
        <v>316</v>
      </c>
      <c r="D117" s="80" t="s">
        <v>74</v>
      </c>
      <c r="E117" s="118"/>
      <c r="F117" s="118"/>
      <c r="G117" s="118"/>
      <c r="H117" s="118"/>
      <c r="I117" s="177"/>
      <c r="J117" s="118"/>
      <c r="K117" s="118"/>
      <c r="L117" s="118"/>
      <c r="M117" s="118"/>
      <c r="N117" s="118"/>
      <c r="O117" s="16"/>
      <c r="P117" s="16"/>
      <c r="Q117" s="16"/>
    </row>
    <row r="118" spans="1:17" x14ac:dyDescent="0.3">
      <c r="A118" s="5"/>
      <c r="B118" s="5"/>
      <c r="C118" s="50" t="s">
        <v>318</v>
      </c>
      <c r="D118" s="80" t="s">
        <v>74</v>
      </c>
      <c r="E118" s="118"/>
      <c r="F118" s="118"/>
      <c r="G118" s="118"/>
      <c r="H118" s="118"/>
      <c r="I118" s="177"/>
      <c r="J118" s="118"/>
      <c r="K118" s="118"/>
      <c r="L118" s="118"/>
      <c r="M118" s="118"/>
      <c r="N118" s="118"/>
      <c r="O118" s="16"/>
      <c r="P118" s="16"/>
      <c r="Q118" s="16"/>
    </row>
    <row r="119" spans="1:17" x14ac:dyDescent="0.3">
      <c r="A119" s="5"/>
      <c r="B119" s="5"/>
      <c r="C119" s="50" t="s">
        <v>317</v>
      </c>
      <c r="D119" s="80" t="s">
        <v>74</v>
      </c>
      <c r="E119" s="23"/>
      <c r="F119" s="23"/>
      <c r="G119" s="23"/>
      <c r="H119" s="23"/>
      <c r="I119" s="24"/>
      <c r="J119" s="141"/>
      <c r="K119" s="191"/>
      <c r="L119" s="191"/>
      <c r="M119" s="191"/>
      <c r="N119" s="191"/>
      <c r="O119" s="16"/>
      <c r="P119" s="16"/>
      <c r="Q119" s="16"/>
    </row>
    <row r="120" spans="1:17" x14ac:dyDescent="0.3">
      <c r="A120" s="5"/>
      <c r="B120" s="5"/>
      <c r="C120" s="50" t="s">
        <v>311</v>
      </c>
      <c r="D120" s="80" t="s">
        <v>74</v>
      </c>
      <c r="E120" s="23"/>
      <c r="F120" s="23"/>
      <c r="G120" s="23"/>
      <c r="H120" s="23"/>
      <c r="I120" s="24"/>
      <c r="J120" s="141"/>
      <c r="K120" s="191"/>
      <c r="L120" s="191"/>
      <c r="M120" s="191"/>
      <c r="N120" s="191"/>
      <c r="O120" s="16"/>
      <c r="P120" s="16"/>
      <c r="Q120" s="16"/>
    </row>
    <row r="121" spans="1:17" x14ac:dyDescent="0.3">
      <c r="A121" s="5"/>
      <c r="B121" s="5"/>
      <c r="C121" s="50" t="s">
        <v>312</v>
      </c>
      <c r="D121" s="80" t="s">
        <v>74</v>
      </c>
      <c r="E121" s="118"/>
      <c r="F121" s="118"/>
      <c r="G121" s="118"/>
      <c r="H121" s="118"/>
      <c r="I121" s="177"/>
      <c r="J121" s="118"/>
      <c r="K121" s="118"/>
      <c r="L121" s="118"/>
      <c r="M121" s="118"/>
      <c r="N121" s="118"/>
      <c r="O121" s="16"/>
      <c r="P121" s="16"/>
      <c r="Q121" s="16"/>
    </row>
    <row r="122" spans="1:17" x14ac:dyDescent="0.3">
      <c r="A122" s="5"/>
      <c r="B122" s="5"/>
      <c r="C122" s="50" t="s">
        <v>313</v>
      </c>
      <c r="D122" s="80" t="s">
        <v>74</v>
      </c>
      <c r="E122" s="118"/>
      <c r="F122" s="118"/>
      <c r="G122" s="118"/>
      <c r="H122" s="118"/>
      <c r="I122" s="177"/>
      <c r="J122" s="118"/>
      <c r="K122" s="118"/>
      <c r="L122" s="118"/>
      <c r="M122" s="118"/>
      <c r="N122" s="118"/>
      <c r="O122" s="16"/>
      <c r="P122" s="16"/>
      <c r="Q122" s="16"/>
    </row>
    <row r="123" spans="1:17" x14ac:dyDescent="0.3">
      <c r="A123" s="5"/>
      <c r="B123" s="5"/>
      <c r="C123" s="50" t="s">
        <v>314</v>
      </c>
      <c r="D123" s="80" t="s">
        <v>74</v>
      </c>
      <c r="E123" s="118"/>
      <c r="F123" s="118"/>
      <c r="G123" s="118"/>
      <c r="H123" s="118"/>
      <c r="I123" s="177"/>
      <c r="J123" s="118"/>
      <c r="K123" s="118"/>
      <c r="L123" s="118"/>
      <c r="M123" s="118"/>
      <c r="N123" s="118"/>
      <c r="O123" s="16"/>
      <c r="P123" s="16"/>
      <c r="Q123" s="16"/>
    </row>
    <row r="124" spans="1:17" x14ac:dyDescent="0.3">
      <c r="A124" s="5"/>
      <c r="B124" s="5"/>
      <c r="C124" s="26" t="s">
        <v>315</v>
      </c>
      <c r="D124" s="81" t="s">
        <v>74</v>
      </c>
      <c r="E124" s="152"/>
      <c r="F124" s="152"/>
      <c r="G124" s="152"/>
      <c r="H124" s="152"/>
      <c r="I124" s="193"/>
      <c r="J124" s="152"/>
      <c r="K124" s="152"/>
      <c r="L124" s="152"/>
      <c r="M124" s="152"/>
      <c r="N124" s="152"/>
      <c r="O124" s="16"/>
      <c r="P124" s="16"/>
      <c r="Q124" s="16"/>
    </row>
    <row r="125" spans="1:17" x14ac:dyDescent="0.3">
      <c r="A125" s="5"/>
      <c r="B125" s="5"/>
      <c r="C125" s="224" t="s">
        <v>310</v>
      </c>
      <c r="D125" s="80" t="s">
        <v>74</v>
      </c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16"/>
      <c r="P125" s="16"/>
      <c r="Q125" s="16"/>
    </row>
    <row r="126" spans="1:17" x14ac:dyDescent="0.3">
      <c r="A126" s="5"/>
      <c r="B126" s="5"/>
      <c r="C126" s="3"/>
      <c r="E126" s="16"/>
      <c r="F126" s="16"/>
      <c r="G126" s="16"/>
      <c r="H126" s="16"/>
      <c r="I126" s="67"/>
      <c r="J126" s="16"/>
      <c r="K126" s="16"/>
      <c r="L126" s="16"/>
      <c r="M126" s="16"/>
      <c r="N126" s="16"/>
      <c r="O126" s="16"/>
      <c r="P126" s="16"/>
      <c r="Q126" s="16"/>
    </row>
    <row r="127" spans="1:17" x14ac:dyDescent="0.3">
      <c r="A127" s="5"/>
      <c r="B127" s="5"/>
      <c r="C127" s="26" t="s">
        <v>321</v>
      </c>
      <c r="D127" s="80" t="s">
        <v>74</v>
      </c>
      <c r="E127" s="118"/>
      <c r="F127" s="118"/>
      <c r="G127" s="118"/>
      <c r="H127" s="118"/>
      <c r="I127" s="177"/>
      <c r="J127" s="118"/>
      <c r="K127" s="118"/>
      <c r="L127" s="118"/>
      <c r="M127" s="118"/>
      <c r="N127" s="118"/>
      <c r="O127" s="16"/>
      <c r="P127" s="16"/>
      <c r="Q127" s="16"/>
    </row>
    <row r="128" spans="1:17" x14ac:dyDescent="0.3">
      <c r="A128" s="5"/>
      <c r="B128" s="5"/>
      <c r="C128" s="26" t="s">
        <v>322</v>
      </c>
      <c r="D128" s="81" t="s">
        <v>74</v>
      </c>
      <c r="E128" s="152"/>
      <c r="F128" s="152"/>
      <c r="G128" s="152"/>
      <c r="H128" s="152"/>
      <c r="I128" s="193"/>
      <c r="J128" s="260"/>
      <c r="K128" s="260"/>
      <c r="L128" s="260"/>
      <c r="M128" s="260"/>
      <c r="N128" s="260"/>
      <c r="O128" s="16"/>
      <c r="P128" s="16"/>
      <c r="Q128" s="16"/>
    </row>
    <row r="129" spans="1:17" x14ac:dyDescent="0.3">
      <c r="A129" s="5"/>
      <c r="B129" s="5"/>
      <c r="C129" s="77" t="s">
        <v>323</v>
      </c>
      <c r="D129" s="80" t="s">
        <v>74</v>
      </c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16"/>
      <c r="P129" s="16"/>
      <c r="Q129" s="16"/>
    </row>
    <row r="130" spans="1:17" x14ac:dyDescent="0.3">
      <c r="A130" s="5"/>
      <c r="B130" s="5"/>
      <c r="C130" s="3"/>
      <c r="E130" s="16"/>
      <c r="F130" s="16"/>
      <c r="G130" s="16"/>
      <c r="H130" s="16"/>
      <c r="I130" s="67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3">
      <c r="A131" s="5"/>
      <c r="B131" s="5"/>
      <c r="C131" s="5" t="s">
        <v>325</v>
      </c>
      <c r="D131" s="80" t="s">
        <v>84</v>
      </c>
      <c r="E131" s="17"/>
      <c r="F131" s="17"/>
      <c r="G131" s="17"/>
      <c r="H131" s="17"/>
      <c r="I131" s="268"/>
      <c r="J131" s="192"/>
      <c r="K131" s="192"/>
      <c r="L131" s="192"/>
      <c r="M131" s="192"/>
      <c r="N131" s="192"/>
      <c r="O131" s="16"/>
      <c r="P131" s="16"/>
      <c r="Q131" s="16"/>
    </row>
    <row r="132" spans="1:17" x14ac:dyDescent="0.3">
      <c r="A132" s="5"/>
      <c r="B132" s="5"/>
      <c r="C132" s="5" t="s">
        <v>326</v>
      </c>
      <c r="D132" s="80" t="s">
        <v>84</v>
      </c>
      <c r="E132" s="17"/>
      <c r="F132" s="17"/>
      <c r="G132" s="17"/>
      <c r="H132" s="17"/>
      <c r="I132" s="268"/>
      <c r="J132" s="192"/>
      <c r="K132" s="192"/>
      <c r="L132" s="192"/>
      <c r="M132" s="192"/>
      <c r="N132" s="192"/>
      <c r="O132" s="16"/>
      <c r="P132" s="16"/>
      <c r="Q132" s="16"/>
    </row>
    <row r="133" spans="1:17" x14ac:dyDescent="0.3">
      <c r="A133" s="5"/>
      <c r="B133" s="5"/>
      <c r="C133" s="3"/>
      <c r="E133" s="16"/>
      <c r="F133" s="16"/>
      <c r="G133" s="16"/>
      <c r="H133" s="16"/>
      <c r="I133" s="67"/>
      <c r="J133" s="16"/>
      <c r="K133" s="16"/>
      <c r="L133" s="16"/>
      <c r="M133" s="16"/>
      <c r="N133" s="16"/>
      <c r="O133" s="16"/>
      <c r="P133" s="16"/>
      <c r="Q133" s="16"/>
    </row>
    <row r="134" spans="1:17" x14ac:dyDescent="0.3">
      <c r="A134" s="5"/>
      <c r="B134" s="5"/>
      <c r="C134" s="3" t="s">
        <v>17</v>
      </c>
      <c r="D134" s="80" t="s">
        <v>74</v>
      </c>
      <c r="E134" s="255"/>
      <c r="F134" s="255"/>
      <c r="G134" s="255"/>
      <c r="H134" s="255"/>
      <c r="I134" s="258"/>
      <c r="J134" s="255"/>
      <c r="K134" s="255"/>
      <c r="L134" s="255"/>
      <c r="M134" s="255"/>
      <c r="N134" s="255"/>
      <c r="O134" s="16"/>
      <c r="P134" s="16"/>
      <c r="Q134" s="16"/>
    </row>
    <row r="135" spans="1:17" x14ac:dyDescent="0.3">
      <c r="A135" s="5"/>
      <c r="B135" s="5"/>
      <c r="C135" s="26" t="s">
        <v>319</v>
      </c>
      <c r="D135" s="81" t="s">
        <v>74</v>
      </c>
      <c r="E135" s="249"/>
      <c r="F135" s="249"/>
      <c r="G135" s="249"/>
      <c r="H135" s="249"/>
      <c r="I135" s="262"/>
      <c r="J135" s="264"/>
      <c r="K135" s="264"/>
      <c r="L135" s="264"/>
      <c r="M135" s="264"/>
      <c r="N135" s="264"/>
      <c r="O135" s="16"/>
      <c r="P135" s="16"/>
      <c r="Q135" s="16"/>
    </row>
    <row r="136" spans="1:17" x14ac:dyDescent="0.3">
      <c r="A136" s="5"/>
      <c r="B136" s="5"/>
      <c r="C136" s="77" t="s">
        <v>320</v>
      </c>
      <c r="D136" s="80" t="s">
        <v>74</v>
      </c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16"/>
      <c r="P136" s="16"/>
      <c r="Q136" s="16"/>
    </row>
    <row r="137" spans="1:17" x14ac:dyDescent="0.3">
      <c r="A137" s="5"/>
      <c r="B137" s="5"/>
      <c r="C137" s="3"/>
      <c r="E137" s="16"/>
      <c r="F137" s="16"/>
      <c r="G137" s="16"/>
      <c r="H137" s="16"/>
      <c r="I137" s="67"/>
      <c r="J137" s="16"/>
      <c r="K137" s="16"/>
      <c r="L137" s="16"/>
      <c r="M137" s="16"/>
      <c r="N137" s="16"/>
      <c r="O137" s="16"/>
      <c r="P137" s="16"/>
      <c r="Q137" s="16"/>
    </row>
    <row r="138" spans="1:17" x14ac:dyDescent="0.3">
      <c r="A138" s="5"/>
      <c r="B138" s="5"/>
      <c r="C138" s="5" t="s">
        <v>324</v>
      </c>
      <c r="D138" s="80" t="s">
        <v>84</v>
      </c>
      <c r="E138" s="16"/>
      <c r="F138" s="16"/>
      <c r="G138" s="17"/>
      <c r="H138" s="17"/>
      <c r="I138" s="268"/>
      <c r="J138" s="143"/>
      <c r="K138" s="143"/>
      <c r="L138" s="143"/>
      <c r="M138" s="143"/>
      <c r="N138" s="143"/>
      <c r="O138" s="16"/>
      <c r="P138" s="16"/>
      <c r="Q138" s="16"/>
    </row>
    <row r="139" spans="1:17" x14ac:dyDescent="0.3">
      <c r="A139" s="5"/>
      <c r="B139" s="5"/>
      <c r="C139" s="3"/>
      <c r="E139" s="16"/>
      <c r="F139" s="16"/>
      <c r="G139" s="16"/>
      <c r="H139" s="16"/>
      <c r="I139" s="67"/>
      <c r="J139" s="16"/>
      <c r="K139" s="16"/>
      <c r="L139" s="16"/>
      <c r="M139" s="16"/>
      <c r="N139" s="16"/>
      <c r="O139" s="16"/>
      <c r="P139" s="16"/>
      <c r="Q139" s="16"/>
    </row>
    <row r="140" spans="1:17" x14ac:dyDescent="0.3">
      <c r="C140" s="5" t="s">
        <v>327</v>
      </c>
      <c r="D140" s="80" t="s">
        <v>74</v>
      </c>
      <c r="E140" s="118"/>
      <c r="F140" s="118"/>
      <c r="G140" s="118"/>
      <c r="H140" s="118"/>
      <c r="I140" s="177"/>
      <c r="J140" s="118"/>
      <c r="K140" s="118"/>
      <c r="L140" s="118"/>
      <c r="M140" s="118"/>
      <c r="N140" s="118"/>
    </row>
    <row r="141" spans="1:17" x14ac:dyDescent="0.3">
      <c r="C141" s="5" t="s">
        <v>328</v>
      </c>
      <c r="D141" s="80" t="s">
        <v>74</v>
      </c>
      <c r="E141" s="118"/>
      <c r="F141" s="118"/>
      <c r="G141" s="118"/>
      <c r="H141" s="118"/>
      <c r="I141" s="177"/>
      <c r="J141" s="118"/>
      <c r="K141" s="118"/>
      <c r="L141" s="118"/>
      <c r="M141" s="118"/>
      <c r="N141" s="118"/>
    </row>
    <row r="142" spans="1:17" x14ac:dyDescent="0.3">
      <c r="A142" s="5"/>
      <c r="B142" s="5"/>
      <c r="C142" s="3"/>
      <c r="E142" s="16"/>
      <c r="F142" s="16"/>
      <c r="G142" s="16"/>
      <c r="H142" s="16"/>
      <c r="I142" s="67"/>
      <c r="J142" s="16"/>
      <c r="K142" s="16"/>
      <c r="L142" s="16"/>
      <c r="M142" s="16"/>
      <c r="N142" s="16"/>
      <c r="O142" s="16"/>
      <c r="P142" s="16"/>
      <c r="Q142" s="16"/>
    </row>
    <row r="143" spans="1:17" x14ac:dyDescent="0.3">
      <c r="A143" s="5"/>
      <c r="B143" s="5"/>
      <c r="C143" s="3" t="s">
        <v>228</v>
      </c>
      <c r="D143" s="80" t="s">
        <v>84</v>
      </c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16"/>
      <c r="P143" s="16"/>
      <c r="Q143" s="16"/>
    </row>
    <row r="144" spans="1:17" x14ac:dyDescent="0.3">
      <c r="A144" s="5"/>
      <c r="B144" s="5"/>
      <c r="C144" s="53" t="s">
        <v>334</v>
      </c>
      <c r="D144" s="80" t="s">
        <v>84</v>
      </c>
      <c r="E144" s="16"/>
      <c r="F144" s="16"/>
      <c r="G144" s="16"/>
      <c r="H144" s="16"/>
      <c r="I144" s="67"/>
      <c r="J144" s="16"/>
      <c r="K144" s="16"/>
      <c r="L144" s="16"/>
      <c r="M144" s="16"/>
      <c r="N144" s="16"/>
      <c r="O144" s="16"/>
      <c r="P144" s="16"/>
      <c r="Q144" s="16"/>
    </row>
    <row r="145" spans="3:17" x14ac:dyDescent="0.3">
      <c r="C145" s="53"/>
      <c r="J145" s="16"/>
      <c r="K145" s="16"/>
      <c r="L145" s="16"/>
      <c r="M145" s="16"/>
      <c r="N145" s="16"/>
      <c r="O145" s="16"/>
      <c r="P145" s="16"/>
      <c r="Q145" s="16"/>
    </row>
    <row r="146" spans="3:17" x14ac:dyDescent="0.3">
      <c r="C146" s="3" t="s">
        <v>338</v>
      </c>
      <c r="D146" s="80" t="s">
        <v>84</v>
      </c>
      <c r="E146" s="16"/>
      <c r="F146" s="16"/>
      <c r="G146" s="16"/>
      <c r="H146" s="16"/>
      <c r="I146" s="67"/>
      <c r="J146" s="67">
        <v>0</v>
      </c>
      <c r="K146" s="67">
        <v>0</v>
      </c>
      <c r="L146" s="67">
        <v>0</v>
      </c>
      <c r="M146" s="67">
        <v>1</v>
      </c>
      <c r="N146" s="67">
        <v>1</v>
      </c>
    </row>
  </sheetData>
  <conditionalFormatting sqref="J143">
    <cfRule type="cellIs" dxfId="34" priority="35" operator="lessThan">
      <formula>$J$146</formula>
    </cfRule>
  </conditionalFormatting>
  <conditionalFormatting sqref="K143">
    <cfRule type="cellIs" dxfId="33" priority="34" operator="lessThan">
      <formula>$K$146</formula>
    </cfRule>
  </conditionalFormatting>
  <conditionalFormatting sqref="L143">
    <cfRule type="cellIs" dxfId="32" priority="33" operator="lessThan">
      <formula>$L$146</formula>
    </cfRule>
  </conditionalFormatting>
  <conditionalFormatting sqref="M143">
    <cfRule type="cellIs" dxfId="31" priority="32" operator="lessThan">
      <formula>$M$146</formula>
    </cfRule>
  </conditionalFormatting>
  <conditionalFormatting sqref="N143">
    <cfRule type="cellIs" dxfId="30" priority="31" operator="lessThan">
      <formula>$N$146</formula>
    </cfRule>
  </conditionalFormatting>
  <conditionalFormatting sqref="J90">
    <cfRule type="cellIs" dxfId="29" priority="30" operator="lessThan">
      <formula>$J$93</formula>
    </cfRule>
  </conditionalFormatting>
  <conditionalFormatting sqref="K90">
    <cfRule type="cellIs" dxfId="28" priority="29" operator="lessThan">
      <formula>$K$93</formula>
    </cfRule>
  </conditionalFormatting>
  <conditionalFormatting sqref="L90">
    <cfRule type="cellIs" dxfId="27" priority="28" operator="lessThan">
      <formula>$L$93</formula>
    </cfRule>
  </conditionalFormatting>
  <conditionalFormatting sqref="M90">
    <cfRule type="cellIs" dxfId="26" priority="27" operator="lessThan">
      <formula>$M$93</formula>
    </cfRule>
  </conditionalFormatting>
  <conditionalFormatting sqref="N90">
    <cfRule type="cellIs" dxfId="25" priority="26" operator="lessThan">
      <formula>$N$93</formula>
    </cfRule>
  </conditionalFormatting>
  <conditionalFormatting sqref="J47">
    <cfRule type="cellIs" dxfId="24" priority="25" operator="lessThanOrEqual">
      <formula>J54</formula>
    </cfRule>
  </conditionalFormatting>
  <conditionalFormatting sqref="K47">
    <cfRule type="cellIs" dxfId="23" priority="24" operator="lessThanOrEqual">
      <formula>$K$54</formula>
    </cfRule>
  </conditionalFormatting>
  <conditionalFormatting sqref="L47">
    <cfRule type="cellIs" dxfId="22" priority="23" operator="lessThanOrEqual">
      <formula>$L$54</formula>
    </cfRule>
  </conditionalFormatting>
  <conditionalFormatting sqref="M47">
    <cfRule type="cellIs" dxfId="21" priority="22" operator="lessThanOrEqual">
      <formula>$M$54</formula>
    </cfRule>
  </conditionalFormatting>
  <conditionalFormatting sqref="N47">
    <cfRule type="cellIs" dxfId="20" priority="21" operator="lessThanOrEqual">
      <formula>$N$54</formula>
    </cfRule>
  </conditionalFormatting>
  <conditionalFormatting sqref="J48">
    <cfRule type="cellIs" dxfId="19" priority="20" operator="lessThanOrEqual">
      <formula>J55</formula>
    </cfRule>
  </conditionalFormatting>
  <conditionalFormatting sqref="J49">
    <cfRule type="cellIs" dxfId="18" priority="19" operator="lessThanOrEqual">
      <formula>J56</formula>
    </cfRule>
  </conditionalFormatting>
  <conditionalFormatting sqref="J50">
    <cfRule type="cellIs" dxfId="17" priority="18" operator="lessThanOrEqual">
      <formula>J57</formula>
    </cfRule>
  </conditionalFormatting>
  <conditionalFormatting sqref="J51">
    <cfRule type="cellIs" dxfId="16" priority="17" operator="lessThanOrEqual">
      <formula>J58</formula>
    </cfRule>
  </conditionalFormatting>
  <conditionalFormatting sqref="K48">
    <cfRule type="cellIs" dxfId="15" priority="16" operator="lessThanOrEqual">
      <formula>K55</formula>
    </cfRule>
  </conditionalFormatting>
  <conditionalFormatting sqref="L48">
    <cfRule type="cellIs" dxfId="14" priority="15" operator="lessThanOrEqual">
      <formula>L55</formula>
    </cfRule>
  </conditionalFormatting>
  <conditionalFormatting sqref="M48">
    <cfRule type="cellIs" dxfId="13" priority="14" operator="lessThanOrEqual">
      <formula>M55</formula>
    </cfRule>
  </conditionalFormatting>
  <conditionalFormatting sqref="N48">
    <cfRule type="cellIs" dxfId="12" priority="13" operator="lessThanOrEqual">
      <formula>N55</formula>
    </cfRule>
  </conditionalFormatting>
  <conditionalFormatting sqref="K49">
    <cfRule type="cellIs" dxfId="11" priority="12" operator="lessThanOrEqual">
      <formula>K56</formula>
    </cfRule>
  </conditionalFormatting>
  <conditionalFormatting sqref="L49">
    <cfRule type="cellIs" dxfId="10" priority="11" operator="lessThanOrEqual">
      <formula>L56</formula>
    </cfRule>
  </conditionalFormatting>
  <conditionalFormatting sqref="M49">
    <cfRule type="cellIs" dxfId="9" priority="10" operator="lessThanOrEqual">
      <formula>M56</formula>
    </cfRule>
  </conditionalFormatting>
  <conditionalFormatting sqref="N49">
    <cfRule type="cellIs" dxfId="8" priority="9" operator="lessThanOrEqual">
      <formula>N56</formula>
    </cfRule>
  </conditionalFormatting>
  <conditionalFormatting sqref="K50">
    <cfRule type="cellIs" dxfId="7" priority="8" operator="lessThanOrEqual">
      <formula>K57</formula>
    </cfRule>
  </conditionalFormatting>
  <conditionalFormatting sqref="L50">
    <cfRule type="cellIs" dxfId="6" priority="7" operator="lessThanOrEqual">
      <formula>L57</formula>
    </cfRule>
  </conditionalFormatting>
  <conditionalFormatting sqref="M50">
    <cfRule type="cellIs" dxfId="5" priority="6" operator="lessThanOrEqual">
      <formula>M57</formula>
    </cfRule>
  </conditionalFormatting>
  <conditionalFormatting sqref="N50">
    <cfRule type="cellIs" dxfId="4" priority="5" operator="lessThanOrEqual">
      <formula>N57</formula>
    </cfRule>
  </conditionalFormatting>
  <conditionalFormatting sqref="K51">
    <cfRule type="cellIs" dxfId="3" priority="4" operator="lessThanOrEqual">
      <formula>K58</formula>
    </cfRule>
  </conditionalFormatting>
  <conditionalFormatting sqref="L51">
    <cfRule type="cellIs" dxfId="2" priority="3" operator="lessThanOrEqual">
      <formula>L58</formula>
    </cfRule>
  </conditionalFormatting>
  <conditionalFormatting sqref="M51">
    <cfRule type="cellIs" dxfId="1" priority="2" operator="lessThanOrEqual">
      <formula>M58</formula>
    </cfRule>
  </conditionalFormatting>
  <conditionalFormatting sqref="N51">
    <cfRule type="cellIs" dxfId="0" priority="1" operator="lessThanOrEqual">
      <formula>N58</formula>
    </cfRule>
  </conditionalFormatting>
  <pageMargins left="0.7" right="0.7" top="0.75" bottom="0.75" header="0.3" footer="0.3"/>
  <pageSetup scale="49" orientation="portrait" horizontalDpi="300" verticalDpi="300" r:id="rId1"/>
  <rowBreaks count="2" manualBreakCount="2">
    <brk id="59" max="14" man="1"/>
    <brk id="94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Op-Model</vt:lpstr>
      <vt:lpstr>Loans</vt:lpstr>
      <vt:lpstr>1H-Stub</vt:lpstr>
      <vt:lpstr>Summary</vt:lpstr>
      <vt:lpstr>Capital</vt:lpstr>
      <vt:lpstr>Basic_Shares</vt:lpstr>
      <vt:lpstr>Circ_Ref</vt:lpstr>
      <vt:lpstr>Company_Name</vt:lpstr>
      <vt:lpstr>Hist_Year</vt:lpstr>
      <vt:lpstr>LTM_Date</vt:lpstr>
      <vt:lpstr>Min_CET_1</vt:lpstr>
      <vt:lpstr>'1H-Stub'!Print_Area</vt:lpstr>
      <vt:lpstr>Capital!Print_Area</vt:lpstr>
      <vt:lpstr>Loans!Print_Area</vt:lpstr>
      <vt:lpstr>'Op-Model'!Print_Area</vt:lpstr>
      <vt:lpstr>Summary!Print_Area</vt:lpstr>
      <vt:lpstr>Scenario</vt:lpstr>
      <vt:lpstr>Share_Price</vt:lpstr>
      <vt:lpstr>Tax_Rate</vt:lpstr>
      <vt:lpstr>Ticker</vt:lpstr>
      <vt:lpstr>Units</vt:lpstr>
      <vt:lpstr>Valuation_Date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2016-02-28T18:38:08Z</cp:lastPrinted>
  <dcterms:created xsi:type="dcterms:W3CDTF">2009-06-26T05:31:17Z</dcterms:created>
  <dcterms:modified xsi:type="dcterms:W3CDTF">2016-03-10T16:46:55Z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