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810" activeTab="4"/>
  </bookViews>
  <sheets>
    <sheet name="Inputs" sheetId="1" r:id="rId1"/>
    <sheet name="Capital" sheetId="2" r:id="rId2"/>
    <sheet name="Loans" sheetId="3" r:id="rId3"/>
    <sheet name="LLRs" sheetId="4" r:id="rId4"/>
    <sheet name="Operating Model" sheetId="5" r:id="rId5"/>
  </sheets>
  <definedNames>
    <definedName name="_xlfn.IFERROR" hidden="1">#NAME?</definedName>
    <definedName name="Basic_Shares">'Inputs'!$E$15</definedName>
    <definedName name="Company_Name">'Inputs'!$E$4</definedName>
    <definedName name="Days_in_Year">'Inputs'!$E$10</definedName>
    <definedName name="Diluted_Shares">'Inputs'!$E$23</definedName>
    <definedName name="Hist_Year">'Inputs'!$E$6</definedName>
    <definedName name="M_Const">'Inputs'!$E$9</definedName>
    <definedName name="Min_Tier_1">'Inputs'!$K$9</definedName>
    <definedName name="Options">'Inputs'!$C$20</definedName>
    <definedName name="Options_Price">'Inputs'!$E$20</definedName>
    <definedName name="RSU">'Inputs'!$C$21</definedName>
    <definedName name="RSU_Price">'Inputs'!$E$21</definedName>
    <definedName name="Share_Price">'Inputs'!$E$16</definedName>
    <definedName name="Ticker">'Inputs'!$E$5</definedName>
    <definedName name="Units">'Inputs'!$E$11</definedName>
    <definedName name="Valuation_Date">'Inputs'!$E$7</definedName>
  </definedNames>
  <calcPr calcMode="autoNoTable" fullCalcOnLoad="1" iterate="1" iterateCount="100" iterateDelta="0.001"/>
</workbook>
</file>

<file path=xl/comments5.xml><?xml version="1.0" encoding="utf-8"?>
<comments xmlns="http://schemas.openxmlformats.org/spreadsheetml/2006/main">
  <authors>
    <author>BIWS</author>
  </authors>
  <commentList>
    <comment ref="J160" authorId="0">
      <text>
        <r>
          <rPr>
            <b/>
            <sz val="8"/>
            <rFont val="Tahoma"/>
            <family val="2"/>
          </rPr>
          <t>BIWS:</t>
        </r>
        <r>
          <rPr>
            <sz val="8"/>
            <rFont val="Tahoma"/>
            <family val="2"/>
          </rPr>
          <t xml:space="preserve">
From RBC 07.16.2010 report.</t>
        </r>
      </text>
    </comment>
    <comment ref="K160" authorId="0">
      <text>
        <r>
          <rPr>
            <b/>
            <sz val="8"/>
            <rFont val="Tahoma"/>
            <family val="2"/>
          </rPr>
          <t>BIWS:</t>
        </r>
        <r>
          <rPr>
            <sz val="8"/>
            <rFont val="Tahoma"/>
            <family val="2"/>
          </rPr>
          <t xml:space="preserve">
From RBC 07.16.2010 report.</t>
        </r>
      </text>
    </comment>
  </commentList>
</comments>
</file>

<file path=xl/sharedStrings.xml><?xml version="1.0" encoding="utf-8"?>
<sst xmlns="http://schemas.openxmlformats.org/spreadsheetml/2006/main" count="374" uniqueCount="319">
  <si>
    <t>Company Name:</t>
  </si>
  <si>
    <t>Ticker:</t>
  </si>
  <si>
    <t>Days in Year:</t>
  </si>
  <si>
    <t>Last Historical Year:</t>
  </si>
  <si>
    <t>Black indicates formulas.</t>
  </si>
  <si>
    <t>Green indicates links from other worksheets.</t>
  </si>
  <si>
    <t>Valuation Date:</t>
  </si>
  <si>
    <t>JPM</t>
  </si>
  <si>
    <t>JPMorgan Chase &amp; Co.</t>
  </si>
  <si>
    <t>($ in Millions)</t>
  </si>
  <si>
    <t>US Wholesale Loans:</t>
  </si>
  <si>
    <t>Total US Wholesale Loans:</t>
  </si>
  <si>
    <t>Financial Institutions</t>
  </si>
  <si>
    <t>Government Agencies:</t>
  </si>
  <si>
    <t>Other:</t>
  </si>
  <si>
    <t>Real Estate:</t>
  </si>
  <si>
    <t>Commercial and Industrial:</t>
  </si>
  <si>
    <t>Non-US Wholesale Loans:</t>
  </si>
  <si>
    <t>Total Non-US Wholesale Loans:</t>
  </si>
  <si>
    <t>Total Wholesale Loans:</t>
  </si>
  <si>
    <t>Total Consumer Loans:</t>
  </si>
  <si>
    <t>Total Loans:</t>
  </si>
  <si>
    <t>Home Equity:</t>
  </si>
  <si>
    <t>Mortgage:</t>
  </si>
  <si>
    <t>Auto Loans:</t>
  </si>
  <si>
    <t>Credit Card Receivables:</t>
  </si>
  <si>
    <t>Loan Growth Rates:</t>
  </si>
  <si>
    <t>Historical - Net of Charge-Offs</t>
  </si>
  <si>
    <t>Projected - Prior to Charge-Offs</t>
  </si>
  <si>
    <t>Conversion Units:</t>
  </si>
  <si>
    <t>Diluted Shares:</t>
  </si>
  <si>
    <t>Stock, Option &amp; RSU Information:</t>
  </si>
  <si>
    <t># Outstanding:</t>
  </si>
  <si>
    <t>Exercise</t>
  </si>
  <si>
    <t>Price:</t>
  </si>
  <si>
    <t>Type:</t>
  </si>
  <si>
    <t>Options</t>
  </si>
  <si>
    <t>RSU</t>
  </si>
  <si>
    <t>Current Share Price:</t>
  </si>
  <si>
    <t>Month Multiplier:</t>
  </si>
  <si>
    <t>Blue indicates hard-coded numbers and inputs.</t>
  </si>
  <si>
    <t>Common Shares Outstanding:</t>
  </si>
  <si>
    <t>Minimum Tier 1 Capital:</t>
  </si>
  <si>
    <t>LL Balance at Beginning of Year:</t>
  </si>
  <si>
    <t>Additions from M&amp;A:</t>
  </si>
  <si>
    <t>Provision for Loan Losses:</t>
  </si>
  <si>
    <t>US Charge-Offs:</t>
  </si>
  <si>
    <t>Consumer:</t>
  </si>
  <si>
    <t>Total US Charge-Offs:</t>
  </si>
  <si>
    <t>Non-US Charge-Offs:</t>
  </si>
  <si>
    <t>Total Non-US Charge-Offs:</t>
  </si>
  <si>
    <t>Total Charge-Offs:</t>
  </si>
  <si>
    <t>US Recoveries:</t>
  </si>
  <si>
    <t>Total US Recoveries:</t>
  </si>
  <si>
    <t>Non-US Recoveries:</t>
  </si>
  <si>
    <t>Total Non-US Recoveries:</t>
  </si>
  <si>
    <t>Total Recoveries:</t>
  </si>
  <si>
    <t>Net Charge-Offs:</t>
  </si>
  <si>
    <t>Allowance for Purch. Porfolios:</t>
  </si>
  <si>
    <t>Change in Accounting Principles:</t>
  </si>
  <si>
    <t>LL Balance at Year-End:</t>
  </si>
  <si>
    <t>Charge-Offs &amp; Recoveries as % of Loan Balances:</t>
  </si>
  <si>
    <t>Provision for Loan Losses as % of</t>
  </si>
  <si>
    <t>Total Consumer Gross Loans:</t>
  </si>
  <si>
    <t>Total Consumer Charge-Offs:</t>
  </si>
  <si>
    <t>Total Consumer Recoveries:</t>
  </si>
  <si>
    <t>Gross Loan Balance:</t>
  </si>
  <si>
    <t>Gross Loans Net of NCOs:</t>
  </si>
  <si>
    <t>Average Loan Balance:</t>
  </si>
  <si>
    <t>Key Metrics &amp; Ratios:</t>
  </si>
  <si>
    <t>Net Charge-Off Ratio:</t>
  </si>
  <si>
    <t>Net Charge-Offs / Reserves:</t>
  </si>
  <si>
    <t>Reserves / Total Loans:</t>
  </si>
  <si>
    <t>NCO / Prior Year Provision:</t>
  </si>
  <si>
    <t>Historical</t>
  </si>
  <si>
    <t>Projected</t>
  </si>
  <si>
    <t>Average Loan Balances:</t>
  </si>
  <si>
    <t>N/A</t>
  </si>
  <si>
    <t>Assets:</t>
  </si>
  <si>
    <t>Cash and Due from Banks:</t>
  </si>
  <si>
    <t>Deposits with Banks:</t>
  </si>
  <si>
    <t>Federal Funds Sold:</t>
  </si>
  <si>
    <t>Securities Borrowed:</t>
  </si>
  <si>
    <t>Trading Assets:</t>
  </si>
  <si>
    <t>Securities:</t>
  </si>
  <si>
    <t>Loans:</t>
  </si>
  <si>
    <t>Allowance for Loan Losses:</t>
  </si>
  <si>
    <t>Net Loans:</t>
  </si>
  <si>
    <t>Accrued Interest and AR:</t>
  </si>
  <si>
    <t>Premises and Equipment:</t>
  </si>
  <si>
    <t>Goodwill:</t>
  </si>
  <si>
    <t>Mortgage Servicing Rights:</t>
  </si>
  <si>
    <t>Other Intangible Assets:</t>
  </si>
  <si>
    <t>Other Assets:</t>
  </si>
  <si>
    <t>Total Assets:</t>
  </si>
  <si>
    <t>Liabilities:</t>
  </si>
  <si>
    <t>Deposits:</t>
  </si>
  <si>
    <t>Federal Funds Purchased:</t>
  </si>
  <si>
    <t>Commercial Paper:</t>
  </si>
  <si>
    <t>Other Borrowed Funds:</t>
  </si>
  <si>
    <t>Trading Liabilities:</t>
  </si>
  <si>
    <t>AP and Other Liabilities:</t>
  </si>
  <si>
    <t>Beneficial Interests:</t>
  </si>
  <si>
    <t>Long-Term Debt:</t>
  </si>
  <si>
    <t>Jr. Sub Debentures:</t>
  </si>
  <si>
    <t>Total Liabilities:</t>
  </si>
  <si>
    <t>Shareholders' Equity:</t>
  </si>
  <si>
    <t>Preferred Stock:</t>
  </si>
  <si>
    <t>Common Stock:</t>
  </si>
  <si>
    <t>Capital Surplus:</t>
  </si>
  <si>
    <t>Retained Earnings:</t>
  </si>
  <si>
    <t>Accumulated OCI:</t>
  </si>
  <si>
    <t>Restricted Stock Units:</t>
  </si>
  <si>
    <t>Treasury Stock:</t>
  </si>
  <si>
    <t>Total Shareholders' Equity:</t>
  </si>
  <si>
    <t>Total Liabilities &amp; SE:</t>
  </si>
  <si>
    <t>Balance Check:</t>
  </si>
  <si>
    <t>Cash % Deposits:</t>
  </si>
  <si>
    <t>Bank Deposits % Deposits:</t>
  </si>
  <si>
    <t>Sec. Borrowed % Securities:</t>
  </si>
  <si>
    <t>Trading Assets % Growth:</t>
  </si>
  <si>
    <t>Securities % Growth:</t>
  </si>
  <si>
    <t>Accr. Interest and AR % Loans:</t>
  </si>
  <si>
    <t>MSR % Growth:</t>
  </si>
  <si>
    <t>Other Intang. Amortization:</t>
  </si>
  <si>
    <t>Other Assets % Growth:</t>
  </si>
  <si>
    <t>Loans % Deposits:</t>
  </si>
  <si>
    <t>Commercial Paper % Loans:</t>
  </si>
  <si>
    <t>Other Borr. Funds % Loans:</t>
  </si>
  <si>
    <t>Trading Liab. % Trading Assets:</t>
  </si>
  <si>
    <t>AP &amp; Other Liab. % Loans:</t>
  </si>
  <si>
    <t>Long-Term Debt % Loans:</t>
  </si>
  <si>
    <t>Federal Funds Calculation:</t>
  </si>
  <si>
    <t>MSR Originated:</t>
  </si>
  <si>
    <t>Trading Assets - Debt:</t>
  </si>
  <si>
    <t>Total Interest-Earning Assets:</t>
  </si>
  <si>
    <t>Avg. Interest-Earning Assets:</t>
  </si>
  <si>
    <t>Interest-Bearing Deposits:</t>
  </si>
  <si>
    <t>Other Borrowings &amp; Liabilities:</t>
  </si>
  <si>
    <t>Total Interest-Bearing Liabilities:</t>
  </si>
  <si>
    <t>Avg. Interest-Bearing Liabilities:</t>
  </si>
  <si>
    <t>Debt % Trading Assets:</t>
  </si>
  <si>
    <t>IB Deposits % Deposits:</t>
  </si>
  <si>
    <t>Other Borrowings % Other</t>
  </si>
  <si>
    <t>Liabilities &amp; Borrowed Funds:</t>
  </si>
  <si>
    <t>Average Interest on IEA:</t>
  </si>
  <si>
    <t>Average Interest on IBL:</t>
  </si>
  <si>
    <t>Interest Rate Spread:</t>
  </si>
  <si>
    <t>Net Interest Income Calculation:</t>
  </si>
  <si>
    <t>Interest Income:</t>
  </si>
  <si>
    <t>Interest Expense:</t>
  </si>
  <si>
    <t>Net Interest Income:</t>
  </si>
  <si>
    <t>Other IE Assets:</t>
  </si>
  <si>
    <t>IE Assets % Other Assets:</t>
  </si>
  <si>
    <t>($ in Millions Except Per Share Data)</t>
  </si>
  <si>
    <t>Non-Interest Revenue:</t>
  </si>
  <si>
    <t>Investment Banking Fees:</t>
  </si>
  <si>
    <t>Principal Transactions:</t>
  </si>
  <si>
    <t>Securities Gains / (Losses):</t>
  </si>
  <si>
    <t>Lending and Deposit Fees:</t>
  </si>
  <si>
    <t>Asset Management:</t>
  </si>
  <si>
    <t>Mortgage Fees &amp; Income:</t>
  </si>
  <si>
    <t>Credit Card Income:</t>
  </si>
  <si>
    <t>Other Income:</t>
  </si>
  <si>
    <t>Total Non-Interest Revenue:</t>
  </si>
  <si>
    <t>Total Net Revenue:</t>
  </si>
  <si>
    <t>Provision for Credit Losses:</t>
  </si>
  <si>
    <t>Non-Interest Expenses:</t>
  </si>
  <si>
    <t>Compensation Expense:</t>
  </si>
  <si>
    <t>Occupancy Expense:</t>
  </si>
  <si>
    <t>Technology &amp; Equipment:</t>
  </si>
  <si>
    <t>Professional Services:</t>
  </si>
  <si>
    <t>Marketing:</t>
  </si>
  <si>
    <t>Other Expenses:</t>
  </si>
  <si>
    <t>Amortization of Intangibles:</t>
  </si>
  <si>
    <t>Merger Costs:</t>
  </si>
  <si>
    <t>Total Non-Interest Expenses:</t>
  </si>
  <si>
    <t>Income Before Taxes &amp; Gains:</t>
  </si>
  <si>
    <t>Income Tax Exp. / (Benefit):</t>
  </si>
  <si>
    <t>NI Before Extra. Gains:</t>
  </si>
  <si>
    <t>Extraordinary Gain:</t>
  </si>
  <si>
    <t>Discontinued Operations:</t>
  </si>
  <si>
    <t>Net Income:</t>
  </si>
  <si>
    <t>Preferred Stock Dividends:</t>
  </si>
  <si>
    <t>Accel. Amort. From TARP:</t>
  </si>
  <si>
    <t>Undistributed Earnings:</t>
  </si>
  <si>
    <t>Net Income to Common:</t>
  </si>
  <si>
    <t>Weighted Avg. Basic Shares:</t>
  </si>
  <si>
    <t>Weighted Avg. Diluted Shares:</t>
  </si>
  <si>
    <t>EPS Excluding Extraordinary Gains &amp; Discontinued Operations:</t>
  </si>
  <si>
    <t>Basic EPS (Excl. Gains):</t>
  </si>
  <si>
    <t>Diluted EPS (Excl. Gains):</t>
  </si>
  <si>
    <t>Dividends Per Common Share:</t>
  </si>
  <si>
    <t>($ in Millions Except Assets Under Supervision in Billions)</t>
  </si>
  <si>
    <t>Investment Banking % Growth:</t>
  </si>
  <si>
    <t>Principal Transactions % Avg.</t>
  </si>
  <si>
    <t>Lending &amp; Deposit Fees % Avg.</t>
  </si>
  <si>
    <t>Loans &amp; Deposits:</t>
  </si>
  <si>
    <t>Assets Under Supervision ($ B):</t>
  </si>
  <si>
    <t>AUS % Growth:</t>
  </si>
  <si>
    <t>Asset Management Fees %</t>
  </si>
  <si>
    <t>Avg. AUS:</t>
  </si>
  <si>
    <t>Mortgage &amp; Home Equity Loans:</t>
  </si>
  <si>
    <t>Fees % Average Loans:</t>
  </si>
  <si>
    <t>CC Income % Avg. Receiv.:</t>
  </si>
  <si>
    <t>Other Income % Growth:</t>
  </si>
  <si>
    <t>% of Net Revenue:</t>
  </si>
  <si>
    <t>Effective Tax Rate:</t>
  </si>
  <si>
    <t>Operating Activities:</t>
  </si>
  <si>
    <t>Reconciling Adjustments:</t>
  </si>
  <si>
    <t>Depreciation &amp; Amortization:</t>
  </si>
  <si>
    <t>Deferred Tax Exp. / (Benefit):</t>
  </si>
  <si>
    <t>Gains on Securities:</t>
  </si>
  <si>
    <t>Proceeds on Invest. Sales:</t>
  </si>
  <si>
    <t>Stock-Based Compensation:</t>
  </si>
  <si>
    <t>Origination &amp; Loan Purchases:</t>
  </si>
  <si>
    <t>Proceeds from Sales &amp; Sec.:</t>
  </si>
  <si>
    <t>Net Change In:</t>
  </si>
  <si>
    <t>Accrued Interest &amp; AR:</t>
  </si>
  <si>
    <t>AP &amp; Other:</t>
  </si>
  <si>
    <t>Other Operating Adjustments:</t>
  </si>
  <si>
    <t>Net Cash Flow from Operations:</t>
  </si>
  <si>
    <t>Investing Activities:</t>
  </si>
  <si>
    <t>Held-to-Maturity Securities:</t>
  </si>
  <si>
    <t>Proceeds:</t>
  </si>
  <si>
    <t>Available-for-Sale Securities:</t>
  </si>
  <si>
    <t>Proceeds from Maturities:</t>
  </si>
  <si>
    <t>Proceeds from Sales:</t>
  </si>
  <si>
    <t>Purchases:</t>
  </si>
  <si>
    <t>Proceeds from Sale &amp; Sec.:</t>
  </si>
  <si>
    <t>Other Net Changes in Loans:</t>
  </si>
  <si>
    <t>Acquisitions:</t>
  </si>
  <si>
    <t>Proceeds from Asset Sales:</t>
  </si>
  <si>
    <t>Commercial Paper Maturities:</t>
  </si>
  <si>
    <t>Net Cash Flow from Investing:</t>
  </si>
  <si>
    <t>Financing Activities:</t>
  </si>
  <si>
    <t>Comm. Paper &amp; Borr. Funds:</t>
  </si>
  <si>
    <t>Long-Term Debt Issuances:</t>
  </si>
  <si>
    <t>Long-Term Debt Repayment:</t>
  </si>
  <si>
    <t>Common Stock Issuances:</t>
  </si>
  <si>
    <t>Excess Tax Benefits:</t>
  </si>
  <si>
    <t>TARP Preferred Stock:</t>
  </si>
  <si>
    <t>Preferred Redemption:</t>
  </si>
  <si>
    <t>Stock Repurchased:</t>
  </si>
  <si>
    <t>Dividends Paid:</t>
  </si>
  <si>
    <t>Other Financing, Net:</t>
  </si>
  <si>
    <t>Net Cash Flow from Financing:</t>
  </si>
  <si>
    <t>Exchange Rate Effect:</t>
  </si>
  <si>
    <t>Net Incr. / (Decr.) in Cash:</t>
  </si>
  <si>
    <t>Beginning Cash Balance:</t>
  </si>
  <si>
    <t>Ending Cash Balance:</t>
  </si>
  <si>
    <t>Fed Funds Sold:</t>
  </si>
  <si>
    <t>Fed Funds Purchased:</t>
  </si>
  <si>
    <t>Other Investing Activ., Net:</t>
  </si>
  <si>
    <t>D&amp;A % Revenue:</t>
  </si>
  <si>
    <t>CapEx % Revenue:</t>
  </si>
  <si>
    <t>SBC % Revenue:</t>
  </si>
  <si>
    <t>Stock Issuances:</t>
  </si>
  <si>
    <t>Total Assets + Prior Year Fed Funds Sold:</t>
  </si>
  <si>
    <t>Total L&amp;E + Prior Year Fed Funds Purchased:</t>
  </si>
  <si>
    <t>Increase in Fed Funds Sold:</t>
  </si>
  <si>
    <t>Increase in Fed Funds Purchased:</t>
  </si>
  <si>
    <t>Ending Cash on Balance Sheet:</t>
  </si>
  <si>
    <t>Tier 1 Capital:</t>
  </si>
  <si>
    <t>Stockholders' Equity:</t>
  </si>
  <si>
    <t>Less: Preferred Stock:</t>
  </si>
  <si>
    <t>Common Stockholders' Equity:</t>
  </si>
  <si>
    <t>AOCI Adjustments:</t>
  </si>
  <si>
    <t>Less: Goodwill, Net DTLs:</t>
  </si>
  <si>
    <t>Less: Fair Value DVA:</t>
  </si>
  <si>
    <t>Less: Investments in Subsid.:</t>
  </si>
  <si>
    <t>Less: Non-Qualifying Intang.:</t>
  </si>
  <si>
    <t>Tier 1 Common Capital:</t>
  </si>
  <si>
    <t>Qualifying Hybrid Securities</t>
  </si>
  <si>
    <t>&amp; Non-Controlling Interests:</t>
  </si>
  <si>
    <t>Total Tier 1 Capital:</t>
  </si>
  <si>
    <t>% Growth:</t>
  </si>
  <si>
    <t>% Non-Qualifying Intang.:</t>
  </si>
  <si>
    <t>Tier 2 Capital:</t>
  </si>
  <si>
    <t>Long-Term Debt &amp; Other:</t>
  </si>
  <si>
    <t>Adjustments:</t>
  </si>
  <si>
    <t>Total Tier 2 Capital:</t>
  </si>
  <si>
    <t>% Qualifying CL Provisions:</t>
  </si>
  <si>
    <t>Total Capital:</t>
  </si>
  <si>
    <t>Risk-Weighted Assets:</t>
  </si>
  <si>
    <t>Total Adj. Avg. Assets:</t>
  </si>
  <si>
    <t>RWA % Average IEA:</t>
  </si>
  <si>
    <t>RWA % Growth:</t>
  </si>
  <si>
    <t>Tangible Assets:</t>
  </si>
  <si>
    <t>Tangible Equity:</t>
  </si>
  <si>
    <t>Tier 1 Common Ratio:</t>
  </si>
  <si>
    <t>Tier 1 Capital Ratio:</t>
  </si>
  <si>
    <t>Total Capital Ratio:</t>
  </si>
  <si>
    <t>Tier 1 Leverage Ratio:</t>
  </si>
  <si>
    <t>Qualifying Allowance for LL:</t>
  </si>
  <si>
    <t>Pre-Dividend and Stock Repurchase Tier 1 Common:</t>
  </si>
  <si>
    <t>Minimum Tier 1 Common Required:</t>
  </si>
  <si>
    <t>Capital Available for Dividends &amp; Stock Repurchases:</t>
  </si>
  <si>
    <t>Basic EPS:</t>
  </si>
  <si>
    <t>Dividends Per Share:</t>
  </si>
  <si>
    <t>Dividend Payout Ratio:</t>
  </si>
  <si>
    <t>Allowed Dividends:</t>
  </si>
  <si>
    <t>Capital Available for Stock Repurchases:</t>
  </si>
  <si>
    <t>Stock Repurchases / Planned:</t>
  </si>
  <si>
    <t>Allowed Stock Repurchases:</t>
  </si>
  <si>
    <t>Stock Repurchases &amp; Issuances:</t>
  </si>
  <si>
    <t>Ending Basic Shares:</t>
  </si>
  <si>
    <t>Average Basic Shares:</t>
  </si>
  <si>
    <t>Diluted EPS:</t>
  </si>
  <si>
    <t>Trailing P/E Multiple:</t>
  </si>
  <si>
    <t>Actual or Implied Stock Price:</t>
  </si>
  <si>
    <t>Stock Repurchases:</t>
  </si>
  <si>
    <t># Shares Repurchased:</t>
  </si>
  <si>
    <t># Shares Issued:</t>
  </si>
  <si>
    <t>Net Change in Basic Shares:</t>
  </si>
  <si>
    <t>Dilution from Options:</t>
  </si>
  <si>
    <t>RSU Outstanding:</t>
  </si>
  <si>
    <t>Avg. Diluted Shares Outstanding:</t>
  </si>
  <si>
    <t>Common Dividends: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</si>
</sst>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_);[Red]\(&quot;$&quot;#,##0.0000\)"/>
    <numFmt numFmtId="167" formatCode="&quot;$&quot;#,##0.00"/>
    <numFmt numFmtId="168" formatCode="0.0%;[Red]\(0.0%\)"/>
    <numFmt numFmtId="169" formatCode="&quot;$&quot;#,##0.000_);[Red]\(&quot;$&quot;#,##0.000\)"/>
    <numFmt numFmtId="170" formatCode="&quot;$&quot;#,##0.000"/>
    <numFmt numFmtId="171" formatCode="0.0;[Red]\(0.0\)"/>
    <numFmt numFmtId="172" formatCode="&quot;$&quot;#,##0.0_);[Red]\(&quot;$&quot;#,##0.0\)"/>
    <numFmt numFmtId="173" formatCode="&quot;$&quot;#,##0_);\(&quot;$&quot;#,##0\);&quot;OK!&quot;;&quot;ERROR&quot;"/>
    <numFmt numFmtId="174" formatCode="&quot;$&quot;#,##0.0"/>
    <numFmt numFmtId="175" formatCode="&quot;$&quot;#,##0.0_);\(&quot;$&quot;#,##0.0\)"/>
    <numFmt numFmtId="176" formatCode="&quot;$&quot;#,##0.0000"/>
    <numFmt numFmtId="177" formatCode="&quot;$&quot;#,##0.000_);\(&quot;$&quot;#,##0.000\)"/>
    <numFmt numFmtId="178" formatCode="[$-409]dddd\,\ mmmm\ dd\,\ yyyy"/>
    <numFmt numFmtId="179" formatCode="0.0\ \x;[Red]\ 0.0\ \x"/>
    <numFmt numFmtId="180" formatCode="0.0"/>
    <numFmt numFmtId="181" formatCode="#,##0.0"/>
    <numFmt numFmtId="182" formatCode="#,##0.000"/>
    <numFmt numFmtId="183" formatCode="&quot;$&quot;#,##0.00000_);[Red]\(&quot;$&quot;#,##0.00000\)"/>
    <numFmt numFmtId="184" formatCode="_(&quot;$&quot;* #,##0.0_);_(&quot;$&quot;* \(#,##0.0\);_(&quot;$&quot;* &quot;-&quot;?_);_(@_)"/>
    <numFmt numFmtId="185" formatCode="_(* #,##0.0_);_(* \(#,##0.0\);_(* &quot;-&quot;?_);_(@_)"/>
    <numFmt numFmtId="186" formatCode="0.0\ \x"/>
    <numFmt numFmtId="187" formatCode="#,##0.00000"/>
    <numFmt numFmtId="188" formatCode="[$¥-411]#,##0.00"/>
    <numFmt numFmtId="189" formatCode="[$¥-411]#,##0"/>
    <numFmt numFmtId="190" formatCode="[$¥-411]#,##0.0"/>
    <numFmt numFmtId="191" formatCode="[$HKD]\ #,##0.0"/>
    <numFmt numFmtId="192" formatCode="m/d/yyyy;@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%;\(0.00%\)"/>
    <numFmt numFmtId="199" formatCode="&quot;L + &quot;\ ##"/>
    <numFmt numFmtId="200" formatCode="&quot;L + &quot;\ 0.0%"/>
    <numFmt numFmtId="201" formatCode="&quot;L + &quot;\ ##.##"/>
    <numFmt numFmtId="202" formatCode="0.0\ \x;[Red]\ \(0.0\ \x\)"/>
    <numFmt numFmtId="203" formatCode="[$-409]h:mm:ss\ AM/PM"/>
    <numFmt numFmtId="204" formatCode="&quot;no&quot;;&quot;yes&quot;"/>
    <numFmt numFmtId="205" formatCode="&quot;no&quot;;;&quot;yes&quot;"/>
    <numFmt numFmtId="206" formatCode="&quot;yes&quot;;;&quot;no&quot;"/>
    <numFmt numFmtId="207" formatCode="&quot;Yes&quot;;;&quot;No&quot;"/>
    <numFmt numFmtId="208" formatCode="0.00\ \x"/>
    <numFmt numFmtId="209" formatCode="0.00\ \x;[Red]\ 0.00\ \x"/>
    <numFmt numFmtId="210" formatCode="#,##0.0_);[Red]\(#,##0.0\)"/>
    <numFmt numFmtId="211" formatCode="0.000%"/>
    <numFmt numFmtId="212" formatCode="0.0000%"/>
    <numFmt numFmtId="213" formatCode="0.00000"/>
    <numFmt numFmtId="214" formatCode="0.0\ \x;\(0.0\ \x\)"/>
    <numFmt numFmtId="215" formatCode="_(* #,##0.000_);_(* \(#,##0.000\);_(* &quot;-&quot;???_);_(@_)"/>
    <numFmt numFmtId="216" formatCode="0.0000%;\(0.0000%\)"/>
    <numFmt numFmtId="217" formatCode="0.0%;\(0.0%\)"/>
    <numFmt numFmtId="218" formatCode="0.0\ \x;0.0\ \x"/>
    <numFmt numFmtId="219" formatCode="0.00\ \x;\(0.00\ \x\)"/>
    <numFmt numFmtId="220" formatCode="_(&quot;$&quot;* #,##0_);[Red]_(&quot;$&quot;* \(#,##0\);_(&quot;$&quot;* &quot;-&quot;_);_(@_)"/>
    <numFmt numFmtId="221" formatCode="_(&quot;$&quot;* #,##0.00_);[Red]_(&quot;$&quot;* \(#,##0.00\);_(&quot;$&quot;* &quot;-&quot;??_);_(@_)"/>
    <numFmt numFmtId="222" formatCode="_(* #,##0_);[Red]_(* \(#,##0\);_(* &quot;-&quot;_);_(@_)"/>
    <numFmt numFmtId="223" formatCode="_(* #,##0.00_);[Red]_(* \(#,##0.00\);_(* &quot;-&quot;??_);_(@_)"/>
    <numFmt numFmtId="224" formatCode="0.0_);\(0.0\)"/>
    <numFmt numFmtId="225" formatCode="\$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9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4" fillId="0" borderId="0" xfId="0" applyFont="1" applyAlignment="1">
      <alignment/>
    </xf>
    <xf numFmtId="1" fontId="2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4" fillId="0" borderId="0" xfId="0" applyFont="1" applyBorder="1" applyAlignment="1">
      <alignment horizontal="centerContinuous"/>
    </xf>
    <xf numFmtId="0" fontId="44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left"/>
    </xf>
    <xf numFmtId="1" fontId="25" fillId="0" borderId="13" xfId="0" applyNumberFormat="1" applyFont="1" applyBorder="1" applyAlignment="1">
      <alignment horizontal="center"/>
    </xf>
    <xf numFmtId="42" fontId="49" fillId="0" borderId="0" xfId="0" applyNumberFormat="1" applyFont="1" applyBorder="1" applyAlignment="1">
      <alignment/>
    </xf>
    <xf numFmtId="41" fontId="49" fillId="0" borderId="0" xfId="0" applyNumberFormat="1" applyFont="1" applyBorder="1" applyAlignment="1">
      <alignment/>
    </xf>
    <xf numFmtId="41" fontId="44" fillId="0" borderId="13" xfId="0" applyNumberFormat="1" applyFont="1" applyBorder="1" applyAlignment="1">
      <alignment/>
    </xf>
    <xf numFmtId="42" fontId="25" fillId="0" borderId="0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2" fontId="50" fillId="0" borderId="0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41" fontId="27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 horizontal="left" indent="1"/>
    </xf>
    <xf numFmtId="42" fontId="44" fillId="0" borderId="13" xfId="0" applyNumberFormat="1" applyFont="1" applyBorder="1" applyAlignment="1">
      <alignment/>
    </xf>
    <xf numFmtId="0" fontId="44" fillId="0" borderId="14" xfId="0" applyFont="1" applyBorder="1" applyAlignment="1">
      <alignment/>
    </xf>
    <xf numFmtId="42" fontId="0" fillId="0" borderId="0" xfId="0" applyNumberFormat="1" applyFont="1" applyBorder="1" applyAlignment="1">
      <alignment/>
    </xf>
    <xf numFmtId="44" fontId="49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44" fontId="49" fillId="0" borderId="15" xfId="0" applyNumberFormat="1" applyFont="1" applyBorder="1" applyAlignment="1">
      <alignment/>
    </xf>
    <xf numFmtId="215" fontId="49" fillId="0" borderId="0" xfId="0" applyNumberFormat="1" applyFont="1" applyBorder="1" applyAlignment="1">
      <alignment/>
    </xf>
    <xf numFmtId="185" fontId="49" fillId="0" borderId="0" xfId="0" applyNumberFormat="1" applyFont="1" applyBorder="1" applyAlignment="1">
      <alignment/>
    </xf>
    <xf numFmtId="1" fontId="27" fillId="0" borderId="13" xfId="0" applyNumberFormat="1" applyFont="1" applyBorder="1" applyAlignment="1">
      <alignment horizontal="center"/>
    </xf>
    <xf numFmtId="217" fontId="44" fillId="0" borderId="0" xfId="0" applyNumberFormat="1" applyFont="1" applyBorder="1" applyAlignment="1">
      <alignment/>
    </xf>
    <xf numFmtId="217" fontId="0" fillId="0" borderId="0" xfId="0" applyNumberFormat="1" applyFont="1" applyBorder="1" applyAlignment="1">
      <alignment/>
    </xf>
    <xf numFmtId="217" fontId="49" fillId="0" borderId="0" xfId="0" applyNumberFormat="1" applyFont="1" applyBorder="1" applyAlignment="1">
      <alignment/>
    </xf>
    <xf numFmtId="217" fontId="44" fillId="0" borderId="13" xfId="0" applyNumberFormat="1" applyFont="1" applyBorder="1" applyAlignment="1">
      <alignment/>
    </xf>
    <xf numFmtId="0" fontId="9" fillId="33" borderId="16" xfId="0" applyFont="1" applyFill="1" applyBorder="1" applyAlignment="1">
      <alignment horizontal="left"/>
    </xf>
    <xf numFmtId="1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28" fillId="33" borderId="15" xfId="0" applyFont="1" applyFill="1" applyBorder="1" applyAlignment="1">
      <alignment horizontal="left"/>
    </xf>
    <xf numFmtId="0" fontId="29" fillId="33" borderId="15" xfId="0" applyFont="1" applyFill="1" applyBorder="1" applyAlignment="1">
      <alignment horizontal="left"/>
    </xf>
    <xf numFmtId="0" fontId="29" fillId="33" borderId="19" xfId="0" applyFont="1" applyFill="1" applyBorder="1" applyAlignment="1">
      <alignment horizontal="left"/>
    </xf>
    <xf numFmtId="185" fontId="27" fillId="0" borderId="12" xfId="0" applyNumberFormat="1" applyFont="1" applyBorder="1" applyAlignment="1">
      <alignment/>
    </xf>
    <xf numFmtId="1" fontId="25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46" fillId="0" borderId="10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25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/>
    </xf>
    <xf numFmtId="1" fontId="25" fillId="0" borderId="12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2" fontId="27" fillId="0" borderId="0" xfId="0" applyNumberFormat="1" applyFont="1" applyBorder="1" applyAlignment="1">
      <alignment/>
    </xf>
    <xf numFmtId="42" fontId="44" fillId="0" borderId="0" xfId="0" applyNumberFormat="1" applyFont="1" applyBorder="1" applyAlignment="1">
      <alignment/>
    </xf>
    <xf numFmtId="37" fontId="44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198" fontId="44" fillId="0" borderId="0" xfId="0" applyNumberFormat="1" applyFont="1" applyBorder="1" applyAlignment="1">
      <alignment/>
    </xf>
    <xf numFmtId="198" fontId="49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198" fontId="25" fillId="0" borderId="0" xfId="0" applyNumberFormat="1" applyFont="1" applyBorder="1" applyAlignment="1">
      <alignment/>
    </xf>
    <xf numFmtId="198" fontId="44" fillId="0" borderId="13" xfId="0" applyNumberFormat="1" applyFont="1" applyBorder="1" applyAlignment="1">
      <alignment/>
    </xf>
    <xf numFmtId="41" fontId="51" fillId="0" borderId="0" xfId="0" applyNumberFormat="1" applyFont="1" applyBorder="1" applyAlignment="1">
      <alignment/>
    </xf>
    <xf numFmtId="0" fontId="44" fillId="0" borderId="10" xfId="0" applyFont="1" applyBorder="1" applyAlignment="1">
      <alignment horizontal="left"/>
    </xf>
    <xf numFmtId="37" fontId="49" fillId="0" borderId="0" xfId="0" applyNumberFormat="1" applyFont="1" applyBorder="1" applyAlignment="1">
      <alignment/>
    </xf>
    <xf numFmtId="37" fontId="50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left" indent="1"/>
    </xf>
    <xf numFmtId="37" fontId="49" fillId="0" borderId="12" xfId="0" applyNumberFormat="1" applyFont="1" applyBorder="1" applyAlignment="1">
      <alignment horizontal="right"/>
    </xf>
    <xf numFmtId="198" fontId="0" fillId="0" borderId="12" xfId="0" applyNumberFormat="1" applyFont="1" applyBorder="1" applyAlignment="1">
      <alignment/>
    </xf>
    <xf numFmtId="198" fontId="44" fillId="0" borderId="12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left" indent="2"/>
    </xf>
    <xf numFmtId="41" fontId="27" fillId="0" borderId="15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25" fillId="0" borderId="0" xfId="0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44" fillId="0" borderId="12" xfId="0" applyNumberFormat="1" applyFont="1" applyBorder="1" applyAlignment="1">
      <alignment/>
    </xf>
    <xf numFmtId="41" fontId="25" fillId="0" borderId="12" xfId="0" applyNumberFormat="1" applyFont="1" applyBorder="1" applyAlignment="1">
      <alignment/>
    </xf>
    <xf numFmtId="42" fontId="50" fillId="0" borderId="13" xfId="0" applyNumberFormat="1" applyFont="1" applyBorder="1" applyAlignment="1">
      <alignment/>
    </xf>
    <xf numFmtId="198" fontId="27" fillId="0" borderId="0" xfId="0" applyNumberFormat="1" applyFont="1" applyBorder="1" applyAlignment="1">
      <alignment/>
    </xf>
    <xf numFmtId="198" fontId="50" fillId="0" borderId="0" xfId="0" applyNumberFormat="1" applyFont="1" applyBorder="1" applyAlignment="1">
      <alignment/>
    </xf>
    <xf numFmtId="198" fontId="49" fillId="0" borderId="0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44" fillId="0" borderId="0" xfId="0" applyNumberFormat="1" applyFont="1" applyBorder="1" applyAlignment="1">
      <alignment/>
    </xf>
    <xf numFmtId="1" fontId="25" fillId="0" borderId="15" xfId="0" applyNumberFormat="1" applyFont="1" applyBorder="1" applyAlignment="1">
      <alignment horizontal="center"/>
    </xf>
    <xf numFmtId="41" fontId="0" fillId="0" borderId="15" xfId="0" applyNumberFormat="1" applyFont="1" applyBorder="1" applyAlignment="1">
      <alignment/>
    </xf>
    <xf numFmtId="0" fontId="44" fillId="0" borderId="14" xfId="0" applyFont="1" applyBorder="1" applyAlignment="1">
      <alignment horizontal="left"/>
    </xf>
    <xf numFmtId="41" fontId="49" fillId="0" borderId="0" xfId="0" applyNumberFormat="1" applyFont="1" applyFill="1" applyBorder="1" applyAlignment="1">
      <alignment/>
    </xf>
    <xf numFmtId="185" fontId="49" fillId="0" borderId="0" xfId="0" applyNumberFormat="1" applyFont="1" applyFill="1" applyBorder="1" applyAlignment="1">
      <alignment/>
    </xf>
    <xf numFmtId="185" fontId="50" fillId="0" borderId="0" xfId="0" applyNumberFormat="1" applyFont="1" applyBorder="1" applyAlignment="1">
      <alignment/>
    </xf>
    <xf numFmtId="185" fontId="25" fillId="0" borderId="0" xfId="0" applyNumberFormat="1" applyFont="1" applyBorder="1" applyAlignment="1">
      <alignment/>
    </xf>
    <xf numFmtId="44" fontId="25" fillId="0" borderId="0" xfId="0" applyNumberFormat="1" applyFont="1" applyBorder="1" applyAlignment="1">
      <alignment/>
    </xf>
    <xf numFmtId="44" fontId="27" fillId="0" borderId="0" xfId="0" applyNumberFormat="1" applyFont="1" applyBorder="1" applyAlignment="1">
      <alignment/>
    </xf>
    <xf numFmtId="44" fontId="50" fillId="0" borderId="12" xfId="0" applyNumberFormat="1" applyFont="1" applyBorder="1" applyAlignment="1">
      <alignment/>
    </xf>
    <xf numFmtId="44" fontId="27" fillId="0" borderId="12" xfId="0" applyNumberFormat="1" applyFont="1" applyBorder="1" applyAlignment="1">
      <alignment/>
    </xf>
    <xf numFmtId="42" fontId="27" fillId="0" borderId="13" xfId="0" applyNumberFormat="1" applyFont="1" applyBorder="1" applyAlignment="1">
      <alignment/>
    </xf>
    <xf numFmtId="0" fontId="44" fillId="0" borderId="16" xfId="0" applyFont="1" applyBorder="1" applyAlignment="1">
      <alignment horizontal="left"/>
    </xf>
    <xf numFmtId="1" fontId="27" fillId="0" borderId="15" xfId="0" applyNumberFormat="1" applyFont="1" applyBorder="1" applyAlignment="1">
      <alignment horizontal="center"/>
    </xf>
    <xf numFmtId="217" fontId="25" fillId="0" borderId="0" xfId="0" applyNumberFormat="1" applyFont="1" applyBorder="1" applyAlignment="1">
      <alignment/>
    </xf>
    <xf numFmtId="217" fontId="27" fillId="0" borderId="0" xfId="0" applyNumberFormat="1" applyFont="1" applyBorder="1" applyAlignment="1">
      <alignment/>
    </xf>
    <xf numFmtId="42" fontId="30" fillId="0" borderId="0" xfId="0" applyNumberFormat="1" applyFont="1" applyBorder="1" applyAlignment="1">
      <alignment/>
    </xf>
    <xf numFmtId="217" fontId="25" fillId="0" borderId="12" xfId="0" applyNumberFormat="1" applyFont="1" applyBorder="1" applyAlignment="1">
      <alignment/>
    </xf>
    <xf numFmtId="217" fontId="27" fillId="0" borderId="12" xfId="0" applyNumberFormat="1" applyFont="1" applyBorder="1" applyAlignment="1">
      <alignment/>
    </xf>
    <xf numFmtId="217" fontId="49" fillId="0" borderId="12" xfId="0" applyNumberFormat="1" applyFont="1" applyBorder="1" applyAlignment="1">
      <alignment/>
    </xf>
    <xf numFmtId="217" fontId="0" fillId="0" borderId="12" xfId="0" applyNumberFormat="1" applyFont="1" applyBorder="1" applyAlignment="1">
      <alignment/>
    </xf>
    <xf numFmtId="217" fontId="25" fillId="0" borderId="12" xfId="0" applyNumberFormat="1" applyFont="1" applyFill="1" applyBorder="1" applyAlignment="1">
      <alignment/>
    </xf>
    <xf numFmtId="217" fontId="27" fillId="0" borderId="12" xfId="0" applyNumberFormat="1" applyFont="1" applyFill="1" applyBorder="1" applyAlignment="1">
      <alignment/>
    </xf>
    <xf numFmtId="41" fontId="50" fillId="0" borderId="0" xfId="0" applyNumberFormat="1" applyFont="1" applyFill="1" applyBorder="1" applyAlignment="1">
      <alignment/>
    </xf>
    <xf numFmtId="41" fontId="27" fillId="0" borderId="15" xfId="0" applyNumberFormat="1" applyFont="1" applyFill="1" applyBorder="1" applyAlignment="1">
      <alignment/>
    </xf>
    <xf numFmtId="41" fontId="49" fillId="0" borderId="15" xfId="0" applyNumberFormat="1" applyFont="1" applyFill="1" applyBorder="1" applyAlignment="1">
      <alignment/>
    </xf>
    <xf numFmtId="41" fontId="50" fillId="0" borderId="15" xfId="0" applyNumberFormat="1" applyFont="1" applyFill="1" applyBorder="1" applyAlignment="1">
      <alignment/>
    </xf>
    <xf numFmtId="41" fontId="44" fillId="0" borderId="15" xfId="0" applyNumberFormat="1" applyFont="1" applyBorder="1" applyAlignment="1">
      <alignment/>
    </xf>
    <xf numFmtId="41" fontId="25" fillId="0" borderId="0" xfId="0" applyNumberFormat="1" applyFont="1" applyFill="1" applyBorder="1" applyAlignment="1">
      <alignment/>
    </xf>
    <xf numFmtId="42" fontId="44" fillId="0" borderId="12" xfId="0" applyNumberFormat="1" applyFont="1" applyBorder="1" applyAlignment="1">
      <alignment/>
    </xf>
    <xf numFmtId="0" fontId="0" fillId="0" borderId="16" xfId="0" applyFont="1" applyBorder="1" applyAlignment="1">
      <alignment horizontal="left" indent="1"/>
    </xf>
    <xf numFmtId="0" fontId="49" fillId="0" borderId="15" xfId="0" applyFont="1" applyBorder="1" applyAlignment="1">
      <alignment/>
    </xf>
    <xf numFmtId="217" fontId="25" fillId="0" borderId="0" xfId="0" applyNumberFormat="1" applyFont="1" applyFill="1" applyBorder="1" applyAlignment="1">
      <alignment/>
    </xf>
    <xf numFmtId="217" fontId="27" fillId="0" borderId="0" xfId="0" applyNumberFormat="1" applyFont="1" applyFill="1" applyBorder="1" applyAlignment="1">
      <alignment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0" fillId="0" borderId="11" xfId="0" applyBorder="1" applyAlignment="1">
      <alignment horizontal="left" indent="1"/>
    </xf>
    <xf numFmtId="0" fontId="0" fillId="0" borderId="10" xfId="0" applyBorder="1" applyAlignment="1">
      <alignment horizontal="left" indent="2"/>
    </xf>
    <xf numFmtId="41" fontId="0" fillId="0" borderId="0" xfId="0" applyNumberFormat="1" applyAlignment="1">
      <alignment/>
    </xf>
    <xf numFmtId="42" fontId="51" fillId="0" borderId="0" xfId="0" applyNumberFormat="1" applyFont="1" applyBorder="1" applyAlignment="1">
      <alignment/>
    </xf>
    <xf numFmtId="42" fontId="47" fillId="0" borderId="0" xfId="0" applyNumberFormat="1" applyFont="1" applyBorder="1" applyAlignment="1">
      <alignment/>
    </xf>
    <xf numFmtId="42" fontId="27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41" fontId="49" fillId="0" borderId="15" xfId="0" applyNumberFormat="1" applyFont="1" applyBorder="1" applyAlignment="1">
      <alignment/>
    </xf>
    <xf numFmtId="41" fontId="50" fillId="0" borderId="15" xfId="0" applyNumberFormat="1" applyFont="1" applyBorder="1" applyAlignment="1">
      <alignment/>
    </xf>
    <xf numFmtId="42" fontId="51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9" fontId="44" fillId="0" borderId="0" xfId="0" applyNumberFormat="1" applyFont="1" applyBorder="1" applyAlignment="1">
      <alignment/>
    </xf>
    <xf numFmtId="217" fontId="44" fillId="0" borderId="12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44" fillId="0" borderId="0" xfId="0" applyNumberFormat="1" applyFont="1" applyFill="1" applyBorder="1" applyAlignment="1">
      <alignment/>
    </xf>
    <xf numFmtId="214" fontId="25" fillId="0" borderId="0" xfId="0" applyNumberFormat="1" applyFont="1" applyBorder="1" applyAlignment="1">
      <alignment/>
    </xf>
    <xf numFmtId="214" fontId="27" fillId="0" borderId="0" xfId="0" applyNumberFormat="1" applyFont="1" applyBorder="1" applyAlignment="1">
      <alignment/>
    </xf>
    <xf numFmtId="214" fontId="49" fillId="0" borderId="0" xfId="0" applyNumberFormat="1" applyFont="1" applyBorder="1" applyAlignment="1">
      <alignment/>
    </xf>
    <xf numFmtId="44" fontId="50" fillId="0" borderId="0" xfId="0" applyNumberFormat="1" applyFont="1" applyBorder="1" applyAlignment="1">
      <alignment/>
    </xf>
    <xf numFmtId="0" fontId="44" fillId="0" borderId="10" xfId="0" applyFont="1" applyBorder="1" applyAlignment="1">
      <alignment horizontal="left" indent="1"/>
    </xf>
    <xf numFmtId="185" fontId="44" fillId="0" borderId="0" xfId="0" applyNumberFormat="1" applyFont="1" applyBorder="1" applyAlignment="1">
      <alignment/>
    </xf>
    <xf numFmtId="185" fontId="44" fillId="0" borderId="12" xfId="0" applyNumberFormat="1" applyFont="1" applyBorder="1" applyAlignment="1">
      <alignment/>
    </xf>
    <xf numFmtId="185" fontId="51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4" width="10.7109375" style="0" customWidth="1"/>
    <col min="5" max="5" width="11.140625" style="0" customWidth="1"/>
    <col min="6" max="13" width="10.7109375" style="0" customWidth="1"/>
  </cols>
  <sheetData>
    <row r="2" spans="2:13" ht="15">
      <c r="B2" s="42" t="str">
        <f>"Operating Model and Valuation - Input and Assumptions - "&amp;TEXT(Company_Name,"")</f>
        <v>Operating Model and Valuation - Input and Assumptions - JPMorgan Chase &amp; Co.</v>
      </c>
      <c r="C2" s="50"/>
      <c r="D2" s="50"/>
      <c r="E2" s="51"/>
      <c r="F2" s="51"/>
      <c r="G2" s="51"/>
      <c r="H2" s="51"/>
      <c r="I2" s="51"/>
      <c r="J2" s="51"/>
      <c r="K2" s="52"/>
      <c r="L2" s="55"/>
      <c r="M2" s="56"/>
    </row>
    <row r="3" spans="2:13" ht="15">
      <c r="B3" s="11"/>
      <c r="C3" s="46"/>
      <c r="D3" s="46"/>
      <c r="E3" s="46"/>
      <c r="F3" s="46"/>
      <c r="G3" s="46"/>
      <c r="H3" s="46"/>
      <c r="I3" s="46"/>
      <c r="J3" s="46"/>
      <c r="K3" s="47"/>
      <c r="L3" s="1"/>
      <c r="M3" s="21"/>
    </row>
    <row r="4" spans="2:13" ht="15">
      <c r="B4" s="2" t="s">
        <v>0</v>
      </c>
      <c r="C4" s="46"/>
      <c r="D4" s="46"/>
      <c r="E4" s="44" t="s">
        <v>8</v>
      </c>
      <c r="F4" s="46"/>
      <c r="G4" s="45"/>
      <c r="H4" s="7" t="s">
        <v>40</v>
      </c>
      <c r="I4" s="45"/>
      <c r="J4" s="45"/>
      <c r="K4" s="47"/>
      <c r="L4" s="57"/>
      <c r="M4" s="21"/>
    </row>
    <row r="5" spans="2:13" ht="15">
      <c r="B5" s="2" t="s">
        <v>1</v>
      </c>
      <c r="C5" s="46"/>
      <c r="D5" s="46"/>
      <c r="E5" s="44" t="s">
        <v>7</v>
      </c>
      <c r="F5" s="46"/>
      <c r="G5" s="45"/>
      <c r="H5" s="25" t="s">
        <v>4</v>
      </c>
      <c r="I5" s="45"/>
      <c r="J5" s="46"/>
      <c r="K5" s="47"/>
      <c r="L5" s="1"/>
      <c r="M5" s="58"/>
    </row>
    <row r="6" spans="2:13" ht="15">
      <c r="B6" s="2" t="s">
        <v>3</v>
      </c>
      <c r="C6" s="46"/>
      <c r="D6" s="46"/>
      <c r="E6" s="43">
        <v>40178</v>
      </c>
      <c r="F6" s="46"/>
      <c r="G6" s="46"/>
      <c r="H6" s="6" t="s">
        <v>5</v>
      </c>
      <c r="I6" s="45"/>
      <c r="J6" s="46"/>
      <c r="K6" s="47"/>
      <c r="L6" s="1"/>
      <c r="M6" s="21"/>
    </row>
    <row r="7" spans="2:13" ht="15">
      <c r="B7" s="2" t="s">
        <v>6</v>
      </c>
      <c r="C7" s="46"/>
      <c r="D7" s="46"/>
      <c r="E7" s="43">
        <v>40178</v>
      </c>
      <c r="F7" s="46"/>
      <c r="G7" s="46"/>
      <c r="H7" s="46"/>
      <c r="I7" s="45"/>
      <c r="J7" s="46"/>
      <c r="K7" s="47"/>
      <c r="L7" s="1"/>
      <c r="M7" s="21"/>
    </row>
    <row r="8" spans="2:13" ht="15">
      <c r="B8" s="2"/>
      <c r="C8" s="46"/>
      <c r="D8" s="46"/>
      <c r="E8" s="46"/>
      <c r="F8" s="46"/>
      <c r="G8" s="46"/>
      <c r="H8" s="46"/>
      <c r="I8" s="45"/>
      <c r="J8" s="45"/>
      <c r="K8" s="47"/>
      <c r="L8" s="1"/>
      <c r="M8" s="21"/>
    </row>
    <row r="9" spans="2:13" ht="15">
      <c r="B9" s="2" t="s">
        <v>39</v>
      </c>
      <c r="C9" s="46"/>
      <c r="D9" s="46"/>
      <c r="E9" s="44">
        <v>29</v>
      </c>
      <c r="F9" s="46"/>
      <c r="G9" s="46"/>
      <c r="H9" s="25" t="s">
        <v>42</v>
      </c>
      <c r="I9" s="45"/>
      <c r="J9" s="45"/>
      <c r="K9" s="40">
        <v>0.09</v>
      </c>
      <c r="L9" s="1"/>
      <c r="M9" s="21"/>
    </row>
    <row r="10" spans="2:13" ht="15">
      <c r="B10" s="2" t="s">
        <v>2</v>
      </c>
      <c r="C10" s="46"/>
      <c r="D10" s="46"/>
      <c r="E10" s="63">
        <v>360</v>
      </c>
      <c r="F10" s="46"/>
      <c r="G10" s="46"/>
      <c r="H10" s="46"/>
      <c r="I10" s="8"/>
      <c r="J10" s="45"/>
      <c r="K10" s="47"/>
      <c r="L10" s="59"/>
      <c r="M10" s="21"/>
    </row>
    <row r="11" spans="2:13" ht="15">
      <c r="B11" s="2" t="s">
        <v>29</v>
      </c>
      <c r="C11" s="46"/>
      <c r="D11" s="46"/>
      <c r="E11" s="63">
        <v>1000</v>
      </c>
      <c r="F11" s="46"/>
      <c r="G11" s="46"/>
      <c r="H11" s="21"/>
      <c r="I11" s="8"/>
      <c r="J11" s="45"/>
      <c r="K11" s="47"/>
      <c r="L11" s="60"/>
      <c r="M11" s="21"/>
    </row>
    <row r="12" spans="2:13" ht="15">
      <c r="B12" s="2"/>
      <c r="C12" s="46"/>
      <c r="D12" s="46"/>
      <c r="E12" s="5"/>
      <c r="F12" s="46"/>
      <c r="G12" s="46"/>
      <c r="H12" s="21"/>
      <c r="I12" s="8"/>
      <c r="J12" s="45"/>
      <c r="K12" s="47"/>
      <c r="L12" s="60"/>
      <c r="M12" s="21"/>
    </row>
    <row r="13" spans="2:13" ht="15">
      <c r="B13" s="2" t="s">
        <v>31</v>
      </c>
      <c r="C13" s="46"/>
      <c r="D13" s="46"/>
      <c r="E13" s="5"/>
      <c r="F13" s="46"/>
      <c r="G13" s="46"/>
      <c r="H13" s="25"/>
      <c r="I13" s="8"/>
      <c r="J13" s="45"/>
      <c r="K13" s="47"/>
      <c r="L13" s="60"/>
      <c r="M13" s="21"/>
    </row>
    <row r="14" spans="2:13" ht="15">
      <c r="B14" s="2"/>
      <c r="C14" s="46"/>
      <c r="D14" s="46"/>
      <c r="E14" s="5"/>
      <c r="F14" s="46"/>
      <c r="G14" s="46"/>
      <c r="H14" s="67"/>
      <c r="I14" s="45"/>
      <c r="J14" s="45"/>
      <c r="K14" s="47"/>
      <c r="L14" s="1"/>
      <c r="M14" s="21"/>
    </row>
    <row r="15" spans="2:13" ht="15">
      <c r="B15" s="2" t="s">
        <v>41</v>
      </c>
      <c r="C15" s="46"/>
      <c r="D15" s="46"/>
      <c r="E15" s="36">
        <v>3973.010673</v>
      </c>
      <c r="F15" s="46"/>
      <c r="G15" s="46"/>
      <c r="H15" s="46"/>
      <c r="I15" s="45"/>
      <c r="J15" s="45"/>
      <c r="K15" s="47"/>
      <c r="L15" s="1"/>
      <c r="M15" s="21"/>
    </row>
    <row r="16" spans="2:13" ht="15">
      <c r="B16" s="2" t="s">
        <v>38</v>
      </c>
      <c r="C16" s="46"/>
      <c r="D16" s="46"/>
      <c r="E16" s="30">
        <v>41.67</v>
      </c>
      <c r="F16" s="46"/>
      <c r="G16" s="46"/>
      <c r="H16" s="46"/>
      <c r="I16" s="45"/>
      <c r="J16" s="45"/>
      <c r="K16" s="47"/>
      <c r="L16" s="1"/>
      <c r="M16" s="21"/>
    </row>
    <row r="17" spans="2:13" ht="15">
      <c r="B17" s="2"/>
      <c r="C17" s="46"/>
      <c r="D17" s="46"/>
      <c r="E17" s="5"/>
      <c r="F17" s="46"/>
      <c r="G17" s="46"/>
      <c r="H17" s="46"/>
      <c r="I17" s="45"/>
      <c r="J17" s="45"/>
      <c r="K17" s="47"/>
      <c r="L17" s="1"/>
      <c r="M17" s="21"/>
    </row>
    <row r="18" spans="2:13" ht="15">
      <c r="B18" s="2"/>
      <c r="C18" s="46"/>
      <c r="D18" s="45"/>
      <c r="E18" s="31" t="s">
        <v>33</v>
      </c>
      <c r="F18" s="9"/>
      <c r="G18" s="45"/>
      <c r="H18" s="25"/>
      <c r="I18" s="45"/>
      <c r="J18" s="45"/>
      <c r="K18" s="47"/>
      <c r="L18" s="1"/>
      <c r="M18" s="21"/>
    </row>
    <row r="19" spans="2:13" ht="15">
      <c r="B19" s="3" t="s">
        <v>35</v>
      </c>
      <c r="C19" s="32" t="s">
        <v>32</v>
      </c>
      <c r="D19" s="48"/>
      <c r="E19" s="33" t="s">
        <v>34</v>
      </c>
      <c r="F19" s="9"/>
      <c r="G19" s="45"/>
      <c r="H19" s="25"/>
      <c r="I19" s="45"/>
      <c r="J19" s="45"/>
      <c r="K19" s="47"/>
      <c r="L19" s="61"/>
      <c r="M19" s="21"/>
    </row>
    <row r="20" spans="2:13" ht="15">
      <c r="B20" s="11" t="s">
        <v>36</v>
      </c>
      <c r="C20" s="35">
        <v>266.568</v>
      </c>
      <c r="D20" s="46"/>
      <c r="E20" s="34">
        <v>45.83</v>
      </c>
      <c r="F20" s="9"/>
      <c r="G20" s="45"/>
      <c r="H20" s="25"/>
      <c r="I20" s="45"/>
      <c r="J20" s="45"/>
      <c r="K20" s="47"/>
      <c r="L20" s="61"/>
      <c r="M20" s="21"/>
    </row>
    <row r="21" spans="2:13" ht="15">
      <c r="B21" s="11" t="s">
        <v>37</v>
      </c>
      <c r="C21" s="35">
        <v>221.265</v>
      </c>
      <c r="D21" s="46"/>
      <c r="E21" s="30">
        <v>29.32</v>
      </c>
      <c r="F21" s="9"/>
      <c r="G21" s="45"/>
      <c r="H21" s="10"/>
      <c r="I21" s="45"/>
      <c r="J21" s="45"/>
      <c r="K21" s="47"/>
      <c r="L21" s="62"/>
      <c r="M21" s="21"/>
    </row>
    <row r="22" spans="2:13" ht="15">
      <c r="B22" s="2"/>
      <c r="C22" s="46"/>
      <c r="D22" s="46"/>
      <c r="E22" s="45"/>
      <c r="F22" s="9"/>
      <c r="G22" s="45"/>
      <c r="H22" s="25"/>
      <c r="I22" s="45"/>
      <c r="J22" s="45"/>
      <c r="K22" s="47"/>
      <c r="L22" s="61"/>
      <c r="M22" s="21"/>
    </row>
    <row r="23" spans="2:13" ht="15">
      <c r="B23" s="3" t="s">
        <v>30</v>
      </c>
      <c r="C23" s="48"/>
      <c r="D23" s="48"/>
      <c r="E23" s="53">
        <f>Basic_Shares+RSU+IF(Options_Price&gt;Share_Price,0,Options-Options*Options_Price/Share_Price)</f>
        <v>4194.275673</v>
      </c>
      <c r="F23" s="54"/>
      <c r="G23" s="48"/>
      <c r="H23" s="32"/>
      <c r="I23" s="48"/>
      <c r="J23" s="48"/>
      <c r="K23" s="49"/>
      <c r="L23" s="61"/>
      <c r="M23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5" max="14" width="11.57421875" style="0" customWidth="1"/>
    <col min="15" max="15" width="2.7109375" style="0" customWidth="1"/>
  </cols>
  <sheetData>
    <row r="2" spans="2:15" ht="15">
      <c r="B2" s="42" t="str">
        <f>Company_Name&amp;" - Tier 1 Capital and Total Capital Calculations"</f>
        <v>JPMorgan Chase &amp; Co. - Tier 1 Capital and Total Capital Calculations</v>
      </c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2:15" ht="15">
      <c r="B3" s="11" t="str">
        <f>Loans!$B$3</f>
        <v>($ in Millions)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ht="15">
      <c r="B4" s="11"/>
      <c r="C4" s="46"/>
      <c r="D4" s="46"/>
      <c r="E4" s="13" t="str">
        <f>LLRs!$E$4</f>
        <v>Historical</v>
      </c>
      <c r="F4" s="13"/>
      <c r="G4" s="13"/>
      <c r="H4" s="13"/>
      <c r="I4" s="13"/>
      <c r="J4" s="12" t="str">
        <f>LLRs!$J$4</f>
        <v>Projected</v>
      </c>
      <c r="K4" s="12"/>
      <c r="L4" s="12"/>
      <c r="M4" s="12"/>
      <c r="N4" s="12"/>
      <c r="O4" s="47"/>
    </row>
    <row r="5" spans="2:15" ht="15">
      <c r="B5" s="14" t="str">
        <f>Loans!$B$5</f>
        <v>December 31, </v>
      </c>
      <c r="C5" s="48"/>
      <c r="D5" s="48"/>
      <c r="E5" s="69">
        <f>Loans!$E$5</f>
        <v>2005</v>
      </c>
      <c r="F5" s="69">
        <f>Loans!$F$5</f>
        <v>2006</v>
      </c>
      <c r="G5" s="69">
        <f>Loans!$G$5</f>
        <v>2007</v>
      </c>
      <c r="H5" s="69">
        <f>Loans!$H$5</f>
        <v>2008</v>
      </c>
      <c r="I5" s="70">
        <f>Loans!$I$5</f>
        <v>2009</v>
      </c>
      <c r="J5" s="15">
        <f>Loans!$J$5</f>
        <v>2010</v>
      </c>
      <c r="K5" s="15">
        <f>Loans!$K$5</f>
        <v>2011</v>
      </c>
      <c r="L5" s="15">
        <f>Loans!$L$5</f>
        <v>2012</v>
      </c>
      <c r="M5" s="15">
        <f>Loans!$M$5</f>
        <v>2013</v>
      </c>
      <c r="N5" s="15">
        <f>Loans!$N$5</f>
        <v>2014</v>
      </c>
      <c r="O5" s="47"/>
    </row>
    <row r="6" spans="2:15" ht="15">
      <c r="B6" s="92" t="s">
        <v>263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47"/>
    </row>
    <row r="7" spans="2:15" ht="15">
      <c r="B7" s="4" t="s">
        <v>264</v>
      </c>
      <c r="C7" s="46"/>
      <c r="D7" s="46"/>
      <c r="E7" s="149">
        <f>'Operating Model'!E44</f>
        <v>107211</v>
      </c>
      <c r="F7" s="149">
        <f>'Operating Model'!F44</f>
        <v>115790</v>
      </c>
      <c r="G7" s="149">
        <f>'Operating Model'!G44</f>
        <v>123221</v>
      </c>
      <c r="H7" s="149">
        <f>'Operating Model'!H44</f>
        <v>166884</v>
      </c>
      <c r="I7" s="150">
        <f>'Operating Model'!I44</f>
        <v>165365</v>
      </c>
      <c r="J7" s="149">
        <f>'Operating Model'!J44</f>
        <v>187294.99579054513</v>
      </c>
      <c r="K7" s="149">
        <f>'Operating Model'!K44</f>
        <v>212635.0271263995</v>
      </c>
      <c r="L7" s="149">
        <f>'Operating Model'!L44</f>
        <v>240464.99311784527</v>
      </c>
      <c r="M7" s="149">
        <f>'Operating Model'!M44</f>
        <v>271021.9152347498</v>
      </c>
      <c r="N7" s="149">
        <f>'Operating Model'!N44</f>
        <v>303481.38356186607</v>
      </c>
      <c r="O7" s="47"/>
    </row>
    <row r="8" spans="2:15" ht="15">
      <c r="B8" s="4" t="s">
        <v>265</v>
      </c>
      <c r="C8" s="46"/>
      <c r="D8" s="46"/>
      <c r="E8" s="83">
        <f>'Operating Model'!E37</f>
        <v>139</v>
      </c>
      <c r="F8" s="83">
        <f>'Operating Model'!F37</f>
        <v>0</v>
      </c>
      <c r="G8" s="83">
        <f>'Operating Model'!G37</f>
        <v>0</v>
      </c>
      <c r="H8" s="83">
        <f>'Operating Model'!H37</f>
        <v>31939</v>
      </c>
      <c r="I8" s="78">
        <f>'Operating Model'!I37</f>
        <v>8152</v>
      </c>
      <c r="J8" s="83">
        <f>'Operating Model'!J37</f>
        <v>8152</v>
      </c>
      <c r="K8" s="83">
        <f>'Operating Model'!K37</f>
        <v>8152</v>
      </c>
      <c r="L8" s="83">
        <f>'Operating Model'!L37</f>
        <v>8152</v>
      </c>
      <c r="M8" s="83">
        <f>'Operating Model'!M37</f>
        <v>8152</v>
      </c>
      <c r="N8" s="83">
        <f>'Operating Model'!N37</f>
        <v>8152</v>
      </c>
      <c r="O8" s="47"/>
    </row>
    <row r="9" spans="2:15" ht="15">
      <c r="B9" s="122" t="s">
        <v>266</v>
      </c>
      <c r="C9" s="93"/>
      <c r="D9" s="93"/>
      <c r="E9" s="151">
        <f aca="true" t="shared" si="0" ref="E9:N9">E7-E8</f>
        <v>107072</v>
      </c>
      <c r="F9" s="151">
        <f t="shared" si="0"/>
        <v>115790</v>
      </c>
      <c r="G9" s="151">
        <f t="shared" si="0"/>
        <v>123221</v>
      </c>
      <c r="H9" s="151">
        <f t="shared" si="0"/>
        <v>134945</v>
      </c>
      <c r="I9" s="151">
        <f t="shared" si="0"/>
        <v>157213</v>
      </c>
      <c r="J9" s="151">
        <f t="shared" si="0"/>
        <v>179142.99579054513</v>
      </c>
      <c r="K9" s="151">
        <f t="shared" si="0"/>
        <v>204483.0271263995</v>
      </c>
      <c r="L9" s="151">
        <f t="shared" si="0"/>
        <v>232312.99311784527</v>
      </c>
      <c r="M9" s="151">
        <f t="shared" si="0"/>
        <v>262869.9152347498</v>
      </c>
      <c r="N9" s="151">
        <f t="shared" si="0"/>
        <v>295329.38356186607</v>
      </c>
      <c r="O9" s="47"/>
    </row>
    <row r="10" spans="2:15" ht="15">
      <c r="B10" s="4" t="s">
        <v>267</v>
      </c>
      <c r="C10" s="46"/>
      <c r="D10" s="46"/>
      <c r="E10" s="17">
        <v>618</v>
      </c>
      <c r="F10" s="17">
        <v>1562</v>
      </c>
      <c r="G10" s="17">
        <v>925</v>
      </c>
      <c r="H10" s="17">
        <v>5084</v>
      </c>
      <c r="I10" s="23">
        <v>75</v>
      </c>
      <c r="J10" s="17">
        <v>0</v>
      </c>
      <c r="K10" s="79">
        <f>J10</f>
        <v>0</v>
      </c>
      <c r="L10" s="79">
        <f>K10</f>
        <v>0</v>
      </c>
      <c r="M10" s="79">
        <f>L10</f>
        <v>0</v>
      </c>
      <c r="N10" s="79">
        <f>M10</f>
        <v>0</v>
      </c>
      <c r="O10" s="47"/>
    </row>
    <row r="11" spans="2:15" ht="15">
      <c r="B11" s="4"/>
      <c r="C11" s="46"/>
      <c r="D11" s="46"/>
      <c r="E11" s="17"/>
      <c r="F11" s="17"/>
      <c r="G11" s="17"/>
      <c r="H11" s="17"/>
      <c r="I11" s="23"/>
      <c r="J11" s="17"/>
      <c r="K11" s="17"/>
      <c r="L11" s="17"/>
      <c r="M11" s="17"/>
      <c r="N11" s="17"/>
      <c r="O11" s="47"/>
    </row>
    <row r="12" spans="2:15" ht="15">
      <c r="B12" s="4" t="s">
        <v>268</v>
      </c>
      <c r="C12" s="46"/>
      <c r="D12" s="46"/>
      <c r="E12" s="17">
        <v>43621</v>
      </c>
      <c r="F12" s="17">
        <v>45186</v>
      </c>
      <c r="G12" s="17">
        <v>45270</v>
      </c>
      <c r="H12" s="17">
        <v>46417</v>
      </c>
      <c r="I12" s="23">
        <v>46630</v>
      </c>
      <c r="J12" s="83">
        <f>'Operating Model'!J19</f>
        <v>48357</v>
      </c>
      <c r="K12" s="83">
        <f>'Operating Model'!K19</f>
        <v>48357</v>
      </c>
      <c r="L12" s="83">
        <f>'Operating Model'!L19</f>
        <v>48357</v>
      </c>
      <c r="M12" s="83">
        <f>'Operating Model'!M19</f>
        <v>48357</v>
      </c>
      <c r="N12" s="83">
        <f>'Operating Model'!N19</f>
        <v>48357</v>
      </c>
      <c r="O12" s="47"/>
    </row>
    <row r="13" spans="2:15" ht="15">
      <c r="B13" s="4" t="s">
        <v>269</v>
      </c>
      <c r="C13" s="46"/>
      <c r="D13" s="46"/>
      <c r="E13" s="17">
        <v>0</v>
      </c>
      <c r="F13" s="17">
        <v>0</v>
      </c>
      <c r="G13" s="17">
        <v>882</v>
      </c>
      <c r="H13" s="17">
        <v>2358</v>
      </c>
      <c r="I13" s="23">
        <v>912</v>
      </c>
      <c r="J13" s="20">
        <f aca="true" t="shared" si="1" ref="J13:N14">I13</f>
        <v>912</v>
      </c>
      <c r="K13" s="20">
        <f t="shared" si="1"/>
        <v>912</v>
      </c>
      <c r="L13" s="20">
        <f t="shared" si="1"/>
        <v>912</v>
      </c>
      <c r="M13" s="20">
        <f t="shared" si="1"/>
        <v>912</v>
      </c>
      <c r="N13" s="20">
        <f t="shared" si="1"/>
        <v>912</v>
      </c>
      <c r="O13" s="47"/>
    </row>
    <row r="14" spans="2:15" ht="15">
      <c r="B14" s="4" t="s">
        <v>270</v>
      </c>
      <c r="C14" s="46"/>
      <c r="D14" s="46"/>
      <c r="E14" s="17">
        <v>401</v>
      </c>
      <c r="F14" s="17">
        <v>420</v>
      </c>
      <c r="G14" s="17">
        <v>782</v>
      </c>
      <c r="H14" s="17">
        <v>679</v>
      </c>
      <c r="I14" s="23">
        <v>802</v>
      </c>
      <c r="J14" s="20">
        <f t="shared" si="1"/>
        <v>802</v>
      </c>
      <c r="K14" s="20">
        <f t="shared" si="1"/>
        <v>802</v>
      </c>
      <c r="L14" s="20">
        <f t="shared" si="1"/>
        <v>802</v>
      </c>
      <c r="M14" s="20">
        <f t="shared" si="1"/>
        <v>802</v>
      </c>
      <c r="N14" s="20">
        <f t="shared" si="1"/>
        <v>802</v>
      </c>
      <c r="O14" s="47"/>
    </row>
    <row r="15" spans="2:15" ht="15">
      <c r="B15" s="4" t="s">
        <v>271</v>
      </c>
      <c r="C15" s="46"/>
      <c r="D15" s="46"/>
      <c r="E15" s="17">
        <v>3993</v>
      </c>
      <c r="F15" s="17">
        <v>3661</v>
      </c>
      <c r="G15" s="17">
        <v>3471</v>
      </c>
      <c r="H15" s="17">
        <v>3667</v>
      </c>
      <c r="I15" s="23">
        <v>3660</v>
      </c>
      <c r="J15" s="20">
        <f>'Operating Model'!J21*J23</f>
        <v>2966.4</v>
      </c>
      <c r="K15" s="20">
        <f>'Operating Model'!K21*K23</f>
        <v>2332</v>
      </c>
      <c r="L15" s="20">
        <f>'Operating Model'!L21*L23</f>
        <v>1764</v>
      </c>
      <c r="M15" s="20">
        <f>'Operating Model'!M21*M23</f>
        <v>1267.2</v>
      </c>
      <c r="N15" s="20">
        <f>'Operating Model'!N21*N23</f>
        <v>931.2</v>
      </c>
      <c r="O15" s="47"/>
    </row>
    <row r="16" spans="2:15" ht="15">
      <c r="B16" s="122" t="s">
        <v>272</v>
      </c>
      <c r="C16" s="152"/>
      <c r="D16" s="152"/>
      <c r="E16" s="151">
        <f aca="true" t="shared" si="2" ref="E16:N16">E9+E10-SUM(E12:E15)</f>
        <v>59675</v>
      </c>
      <c r="F16" s="151">
        <f t="shared" si="2"/>
        <v>68085</v>
      </c>
      <c r="G16" s="151">
        <f t="shared" si="2"/>
        <v>73741</v>
      </c>
      <c r="H16" s="151">
        <f t="shared" si="2"/>
        <v>86908</v>
      </c>
      <c r="I16" s="151">
        <f t="shared" si="2"/>
        <v>105284</v>
      </c>
      <c r="J16" s="151">
        <f t="shared" si="2"/>
        <v>126105.59579054514</v>
      </c>
      <c r="K16" s="151">
        <f t="shared" si="2"/>
        <v>152080.0271263995</v>
      </c>
      <c r="L16" s="151">
        <f t="shared" si="2"/>
        <v>180477.99311784527</v>
      </c>
      <c r="M16" s="151">
        <f t="shared" si="2"/>
        <v>211531.71523474978</v>
      </c>
      <c r="N16" s="151">
        <f t="shared" si="2"/>
        <v>244327.18356186606</v>
      </c>
      <c r="O16" s="47"/>
    </row>
    <row r="17" spans="2:15" ht="15">
      <c r="B17" s="4" t="s">
        <v>107</v>
      </c>
      <c r="C17" s="46"/>
      <c r="D17" s="46"/>
      <c r="E17" s="20">
        <f aca="true" t="shared" si="3" ref="E17:N17">E8</f>
        <v>139</v>
      </c>
      <c r="F17" s="20">
        <f t="shared" si="3"/>
        <v>0</v>
      </c>
      <c r="G17" s="20">
        <f t="shared" si="3"/>
        <v>0</v>
      </c>
      <c r="H17" s="20">
        <f t="shared" si="3"/>
        <v>31939</v>
      </c>
      <c r="I17" s="24">
        <f t="shared" si="3"/>
        <v>8152</v>
      </c>
      <c r="J17" s="20">
        <f t="shared" si="3"/>
        <v>8152</v>
      </c>
      <c r="K17" s="20">
        <f t="shared" si="3"/>
        <v>8152</v>
      </c>
      <c r="L17" s="20">
        <f t="shared" si="3"/>
        <v>8152</v>
      </c>
      <c r="M17" s="20">
        <f t="shared" si="3"/>
        <v>8152</v>
      </c>
      <c r="N17" s="20">
        <f t="shared" si="3"/>
        <v>8152</v>
      </c>
      <c r="O17" s="47"/>
    </row>
    <row r="18" spans="2:15" ht="15">
      <c r="B18" s="4" t="s">
        <v>273</v>
      </c>
      <c r="C18" s="46"/>
      <c r="D18" s="46"/>
      <c r="E18" s="17"/>
      <c r="F18" s="17"/>
      <c r="G18" s="17"/>
      <c r="H18" s="17"/>
      <c r="I18" s="23"/>
      <c r="J18" s="149"/>
      <c r="K18" s="149"/>
      <c r="L18" s="149"/>
      <c r="M18" s="149"/>
      <c r="N18" s="149"/>
      <c r="O18" s="47"/>
    </row>
    <row r="19" spans="2:15" ht="15">
      <c r="B19" s="4" t="s">
        <v>274</v>
      </c>
      <c r="C19" s="46"/>
      <c r="D19" s="46"/>
      <c r="E19" s="17">
        <v>12660</v>
      </c>
      <c r="F19" s="17">
        <v>12970</v>
      </c>
      <c r="G19" s="17">
        <v>15005</v>
      </c>
      <c r="H19" s="17">
        <v>17257</v>
      </c>
      <c r="I19" s="23">
        <v>19535</v>
      </c>
      <c r="J19" s="20">
        <f>I19</f>
        <v>19535</v>
      </c>
      <c r="K19" s="20">
        <f>J19</f>
        <v>19535</v>
      </c>
      <c r="L19" s="20">
        <f>K19</f>
        <v>19535</v>
      </c>
      <c r="M19" s="20">
        <f>L19</f>
        <v>19535</v>
      </c>
      <c r="N19" s="20">
        <f>M19</f>
        <v>19535</v>
      </c>
      <c r="O19" s="47"/>
    </row>
    <row r="20" spans="2:15" ht="15">
      <c r="B20" s="122" t="s">
        <v>275</v>
      </c>
      <c r="C20" s="93"/>
      <c r="D20" s="93"/>
      <c r="E20" s="151">
        <f aca="true" t="shared" si="4" ref="E20:N20">SUM(E16:E19)</f>
        <v>72474</v>
      </c>
      <c r="F20" s="151">
        <f t="shared" si="4"/>
        <v>81055</v>
      </c>
      <c r="G20" s="151">
        <f t="shared" si="4"/>
        <v>88746</v>
      </c>
      <c r="H20" s="151">
        <f t="shared" si="4"/>
        <v>136104</v>
      </c>
      <c r="I20" s="151">
        <f t="shared" si="4"/>
        <v>132971</v>
      </c>
      <c r="J20" s="151">
        <f t="shared" si="4"/>
        <v>153792.59579054514</v>
      </c>
      <c r="K20" s="151">
        <f t="shared" si="4"/>
        <v>179767.0271263995</v>
      </c>
      <c r="L20" s="151">
        <f t="shared" si="4"/>
        <v>208164.99311784527</v>
      </c>
      <c r="M20" s="151">
        <f t="shared" si="4"/>
        <v>239218.71523474978</v>
      </c>
      <c r="N20" s="151">
        <f t="shared" si="4"/>
        <v>272014.18356186606</v>
      </c>
      <c r="O20" s="47"/>
    </row>
    <row r="21" spans="2:15" ht="15">
      <c r="B21" s="4" t="s">
        <v>276</v>
      </c>
      <c r="C21" s="46"/>
      <c r="D21" s="46"/>
      <c r="E21" s="40">
        <v>0.056148992290989685</v>
      </c>
      <c r="F21" s="39">
        <f aca="true" t="shared" si="5" ref="F21:N21">F20/E20-1</f>
        <v>0.1184010817672545</v>
      </c>
      <c r="G21" s="39">
        <f t="shared" si="5"/>
        <v>0.09488618839059892</v>
      </c>
      <c r="H21" s="39">
        <f t="shared" si="5"/>
        <v>0.5336353187749308</v>
      </c>
      <c r="I21" s="38">
        <f t="shared" si="5"/>
        <v>-0.023019161817433687</v>
      </c>
      <c r="J21" s="39">
        <f t="shared" si="5"/>
        <v>0.15658749494660595</v>
      </c>
      <c r="K21" s="39">
        <f t="shared" si="5"/>
        <v>0.1688925998181976</v>
      </c>
      <c r="L21" s="39">
        <f t="shared" si="5"/>
        <v>0.1579709385274437</v>
      </c>
      <c r="M21" s="39">
        <f t="shared" si="5"/>
        <v>0.149178407242204</v>
      </c>
      <c r="N21" s="39">
        <f t="shared" si="5"/>
        <v>0.1370940743283129</v>
      </c>
      <c r="O21" s="47"/>
    </row>
    <row r="22" spans="2:15" ht="15">
      <c r="B22" s="84"/>
      <c r="C22" s="46"/>
      <c r="D22" s="4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47"/>
    </row>
    <row r="23" spans="2:15" ht="15">
      <c r="B23" s="71" t="s">
        <v>277</v>
      </c>
      <c r="C23" s="46"/>
      <c r="D23" s="46"/>
      <c r="E23" s="39">
        <f>E15/'Operating Model'!E21</f>
        <v>0.4925373134328358</v>
      </c>
      <c r="F23" s="39">
        <f>F15/'Operating Model'!F21</f>
        <v>0.5010949904188339</v>
      </c>
      <c r="G23" s="39">
        <f>G15/'Operating Model'!G21</f>
        <v>0.5691096901131333</v>
      </c>
      <c r="H23" s="39">
        <f>H15/'Operating Model'!H21</f>
        <v>0.6570507077584662</v>
      </c>
      <c r="I23" s="38">
        <f>I15/'Operating Model'!I21</f>
        <v>0.7920363557671499</v>
      </c>
      <c r="J23" s="40">
        <v>0.8</v>
      </c>
      <c r="K23" s="39">
        <f>J23</f>
        <v>0.8</v>
      </c>
      <c r="L23" s="39">
        <f>K23</f>
        <v>0.8</v>
      </c>
      <c r="M23" s="39">
        <f>L23</f>
        <v>0.8</v>
      </c>
      <c r="N23" s="39">
        <f>M23</f>
        <v>0.8</v>
      </c>
      <c r="O23" s="47"/>
    </row>
    <row r="24" spans="2:15" ht="15">
      <c r="B24" s="4"/>
      <c r="C24" s="46"/>
      <c r="D24" s="46"/>
      <c r="E24" s="17"/>
      <c r="F24" s="17"/>
      <c r="G24" s="17"/>
      <c r="H24" s="17"/>
      <c r="I24" s="23"/>
      <c r="J24" s="149"/>
      <c r="K24" s="149"/>
      <c r="L24" s="149"/>
      <c r="M24" s="149"/>
      <c r="N24" s="149"/>
      <c r="O24" s="47"/>
    </row>
    <row r="25" spans="2:15" ht="15">
      <c r="B25" s="122" t="s">
        <v>278</v>
      </c>
      <c r="C25" s="93"/>
      <c r="D25" s="93"/>
      <c r="E25" s="153"/>
      <c r="F25" s="153"/>
      <c r="G25" s="153"/>
      <c r="H25" s="153"/>
      <c r="I25" s="154"/>
      <c r="J25" s="155"/>
      <c r="K25" s="155"/>
      <c r="L25" s="155"/>
      <c r="M25" s="155"/>
      <c r="N25" s="155"/>
      <c r="O25" s="47"/>
    </row>
    <row r="26" spans="2:15" ht="15">
      <c r="B26" s="4" t="s">
        <v>279</v>
      </c>
      <c r="C26" s="46"/>
      <c r="D26" s="46"/>
      <c r="E26" s="17">
        <v>22733</v>
      </c>
      <c r="F26" s="17">
        <v>26613</v>
      </c>
      <c r="G26" s="17">
        <v>32817</v>
      </c>
      <c r="H26" s="17">
        <v>31659</v>
      </c>
      <c r="I26" s="23">
        <v>28977</v>
      </c>
      <c r="J26" s="20">
        <f>I26</f>
        <v>28977</v>
      </c>
      <c r="K26" s="20">
        <f>J26</f>
        <v>28977</v>
      </c>
      <c r="L26" s="20">
        <f>K26</f>
        <v>28977</v>
      </c>
      <c r="M26" s="20">
        <f>L26</f>
        <v>28977</v>
      </c>
      <c r="N26" s="20">
        <f>M26</f>
        <v>28977</v>
      </c>
      <c r="O26" s="47"/>
    </row>
    <row r="27" spans="2:15" ht="15">
      <c r="B27" s="96" t="s">
        <v>294</v>
      </c>
      <c r="C27" s="46"/>
      <c r="D27" s="46"/>
      <c r="E27" s="17">
        <v>7490</v>
      </c>
      <c r="F27" s="17">
        <v>7803</v>
      </c>
      <c r="G27" s="17">
        <v>10084</v>
      </c>
      <c r="H27" s="17">
        <v>17187</v>
      </c>
      <c r="I27" s="23">
        <v>15296</v>
      </c>
      <c r="J27" s="20">
        <f>-'Operating Model'!J15*J32</f>
        <v>19712.643307125745</v>
      </c>
      <c r="K27" s="20">
        <f>-'Operating Model'!K15*K32</f>
        <v>19428.907919884085</v>
      </c>
      <c r="L27" s="20">
        <f>-'Operating Model'!L15*L32</f>
        <v>17225.056172682816</v>
      </c>
      <c r="M27" s="20">
        <f>-'Operating Model'!M15*M32</f>
        <v>15138.282279269906</v>
      </c>
      <c r="N27" s="20">
        <f>-'Operating Model'!N15*N32</f>
        <v>14510.980102824655</v>
      </c>
      <c r="O27" s="47"/>
    </row>
    <row r="28" spans="2:15" ht="15">
      <c r="B28" s="4" t="s">
        <v>280</v>
      </c>
      <c r="C28" s="46"/>
      <c r="D28" s="46"/>
      <c r="E28" s="17">
        <v>-260</v>
      </c>
      <c r="F28" s="17">
        <v>-206</v>
      </c>
      <c r="G28" s="17">
        <v>595</v>
      </c>
      <c r="H28" s="17">
        <v>-230</v>
      </c>
      <c r="I28" s="23">
        <v>-171</v>
      </c>
      <c r="J28" s="20">
        <f>I28</f>
        <v>-171</v>
      </c>
      <c r="K28" s="20">
        <f>J28</f>
        <v>-171</v>
      </c>
      <c r="L28" s="20">
        <f>K28</f>
        <v>-171</v>
      </c>
      <c r="M28" s="20">
        <f>L28</f>
        <v>-171</v>
      </c>
      <c r="N28" s="20">
        <f>M28</f>
        <v>-171</v>
      </c>
      <c r="O28" s="47"/>
    </row>
    <row r="29" spans="2:15" ht="15">
      <c r="B29" s="122" t="s">
        <v>281</v>
      </c>
      <c r="C29" s="93"/>
      <c r="D29" s="93"/>
      <c r="E29" s="151">
        <f aca="true" t="shared" si="6" ref="E29:N29">SUM(E26:E28)</f>
        <v>29963</v>
      </c>
      <c r="F29" s="151">
        <f t="shared" si="6"/>
        <v>34210</v>
      </c>
      <c r="G29" s="151">
        <f t="shared" si="6"/>
        <v>43496</v>
      </c>
      <c r="H29" s="151">
        <f t="shared" si="6"/>
        <v>48616</v>
      </c>
      <c r="I29" s="151">
        <f t="shared" si="6"/>
        <v>44102</v>
      </c>
      <c r="J29" s="151">
        <f t="shared" si="6"/>
        <v>48518.64330712575</v>
      </c>
      <c r="K29" s="151">
        <f t="shared" si="6"/>
        <v>48234.907919884085</v>
      </c>
      <c r="L29" s="151">
        <f t="shared" si="6"/>
        <v>46031.05617268282</v>
      </c>
      <c r="M29" s="151">
        <f t="shared" si="6"/>
        <v>43944.28227926991</v>
      </c>
      <c r="N29" s="151">
        <f t="shared" si="6"/>
        <v>43316.98010282466</v>
      </c>
      <c r="O29" s="47"/>
    </row>
    <row r="30" spans="2:15" ht="15">
      <c r="B30" s="4" t="s">
        <v>276</v>
      </c>
      <c r="C30" s="46"/>
      <c r="D30" s="46"/>
      <c r="E30" s="40">
        <v>0.06304548357340534</v>
      </c>
      <c r="F30" s="39">
        <f aca="true" t="shared" si="7" ref="F30:N30">F29/E29-1</f>
        <v>0.14174148116009744</v>
      </c>
      <c r="G30" s="39">
        <f t="shared" si="7"/>
        <v>0.2714410990938323</v>
      </c>
      <c r="H30" s="39">
        <f t="shared" si="7"/>
        <v>0.117711973514806</v>
      </c>
      <c r="I30" s="38">
        <f t="shared" si="7"/>
        <v>-0.09285009050518345</v>
      </c>
      <c r="J30" s="39">
        <f t="shared" si="7"/>
        <v>0.1001461001116899</v>
      </c>
      <c r="K30" s="39">
        <f t="shared" si="7"/>
        <v>-0.005847966222913614</v>
      </c>
      <c r="L30" s="39">
        <f t="shared" si="7"/>
        <v>-0.04568997521176499</v>
      </c>
      <c r="M30" s="39">
        <f t="shared" si="7"/>
        <v>-0.04533404329425983</v>
      </c>
      <c r="N30" s="39">
        <f t="shared" si="7"/>
        <v>-0.014274944177235294</v>
      </c>
      <c r="O30" s="47"/>
    </row>
    <row r="31" spans="2:15" ht="15">
      <c r="B31" s="84"/>
      <c r="C31" s="46"/>
      <c r="D31" s="46"/>
      <c r="E31" s="17"/>
      <c r="F31" s="17"/>
      <c r="G31" s="17"/>
      <c r="H31" s="72"/>
      <c r="I31" s="72"/>
      <c r="J31" s="149"/>
      <c r="K31" s="149"/>
      <c r="L31" s="149"/>
      <c r="M31" s="149"/>
      <c r="N31" s="149"/>
      <c r="O31" s="47"/>
    </row>
    <row r="32" spans="2:15" ht="15">
      <c r="B32" s="71" t="s">
        <v>282</v>
      </c>
      <c r="C32" s="46"/>
      <c r="D32" s="46"/>
      <c r="E32" s="39">
        <f>-E27/'Operating Model'!E15</f>
        <v>1.0564174894217206</v>
      </c>
      <c r="F32" s="39">
        <f>-F27/'Operating Model'!F15</f>
        <v>1.0719879104272565</v>
      </c>
      <c r="G32" s="39">
        <f>-G27/'Operating Model'!G15</f>
        <v>1.0920511154429282</v>
      </c>
      <c r="H32" s="39">
        <f>-H27/'Operating Model'!H15</f>
        <v>0.7419702987394232</v>
      </c>
      <c r="I32" s="38">
        <f>-I27/'Operating Model'!I15</f>
        <v>0.48401999873425733</v>
      </c>
      <c r="J32" s="40">
        <v>0.6</v>
      </c>
      <c r="K32" s="40">
        <v>0.7</v>
      </c>
      <c r="L32" s="40">
        <v>0.8</v>
      </c>
      <c r="M32" s="40">
        <v>0.9</v>
      </c>
      <c r="N32" s="40">
        <v>1</v>
      </c>
      <c r="O32" s="47"/>
    </row>
    <row r="33" spans="2:15" ht="15">
      <c r="B33" s="4"/>
      <c r="C33" s="46"/>
      <c r="D33" s="46"/>
      <c r="E33" s="17"/>
      <c r="F33" s="17"/>
      <c r="G33" s="17"/>
      <c r="H33" s="17"/>
      <c r="I33" s="23"/>
      <c r="J33" s="149"/>
      <c r="K33" s="149"/>
      <c r="L33" s="149"/>
      <c r="M33" s="149"/>
      <c r="N33" s="149"/>
      <c r="O33" s="47"/>
    </row>
    <row r="34" spans="2:15" ht="15">
      <c r="B34" s="2" t="s">
        <v>283</v>
      </c>
      <c r="C34" s="46"/>
      <c r="D34" s="46"/>
      <c r="E34" s="73">
        <f aca="true" t="shared" si="8" ref="E34:N34">E29+E20</f>
        <v>102437</v>
      </c>
      <c r="F34" s="73">
        <f t="shared" si="8"/>
        <v>115265</v>
      </c>
      <c r="G34" s="73">
        <f t="shared" si="8"/>
        <v>132242</v>
      </c>
      <c r="H34" s="73">
        <f t="shared" si="8"/>
        <v>184720</v>
      </c>
      <c r="I34" s="73">
        <f t="shared" si="8"/>
        <v>177073</v>
      </c>
      <c r="J34" s="73">
        <f t="shared" si="8"/>
        <v>202311.23909767088</v>
      </c>
      <c r="K34" s="73">
        <f t="shared" si="8"/>
        <v>228001.9350462836</v>
      </c>
      <c r="L34" s="73">
        <f t="shared" si="8"/>
        <v>254196.04929052808</v>
      </c>
      <c r="M34" s="73">
        <f t="shared" si="8"/>
        <v>283162.99751401966</v>
      </c>
      <c r="N34" s="73">
        <f t="shared" si="8"/>
        <v>315331.1636646907</v>
      </c>
      <c r="O34" s="47"/>
    </row>
    <row r="35" spans="2:15" ht="15">
      <c r="B35" s="4" t="s">
        <v>276</v>
      </c>
      <c r="C35" s="46"/>
      <c r="D35" s="46"/>
      <c r="E35" s="40">
        <v>0.058156951460121675</v>
      </c>
      <c r="F35" s="39">
        <f aca="true" t="shared" si="9" ref="F35:N35">F34/E34-1</f>
        <v>0.12522818903325938</v>
      </c>
      <c r="G35" s="39">
        <f t="shared" si="9"/>
        <v>0.14728668719906302</v>
      </c>
      <c r="H35" s="39">
        <f t="shared" si="9"/>
        <v>0.3968330787495651</v>
      </c>
      <c r="I35" s="38">
        <f t="shared" si="9"/>
        <v>-0.04139779125162413</v>
      </c>
      <c r="J35" s="39">
        <f t="shared" si="9"/>
        <v>0.14253013783959667</v>
      </c>
      <c r="K35" s="39">
        <f t="shared" si="9"/>
        <v>0.12698600464905385</v>
      </c>
      <c r="L35" s="39">
        <f t="shared" si="9"/>
        <v>0.11488549094518508</v>
      </c>
      <c r="M35" s="39">
        <f t="shared" si="9"/>
        <v>0.11395514723513434</v>
      </c>
      <c r="N35" s="39">
        <f t="shared" si="9"/>
        <v>0.1136030005088442</v>
      </c>
      <c r="O35" s="47"/>
    </row>
    <row r="36" spans="2:15" ht="15">
      <c r="B36" s="156" t="s">
        <v>284</v>
      </c>
      <c r="C36" s="46"/>
      <c r="D36" s="46"/>
      <c r="E36" s="17">
        <v>850643</v>
      </c>
      <c r="F36" s="17">
        <v>935909</v>
      </c>
      <c r="G36" s="17">
        <v>1051879</v>
      </c>
      <c r="H36" s="17">
        <v>1244659</v>
      </c>
      <c r="I36" s="23">
        <v>1198006</v>
      </c>
      <c r="J36" s="79">
        <f>'Operating Model'!J93*J39</f>
        <v>1243929.7559155868</v>
      </c>
      <c r="K36" s="79">
        <f>'Operating Model'!K93*K39</f>
        <v>1260816.008423965</v>
      </c>
      <c r="L36" s="79">
        <f>'Operating Model'!L93*L39</f>
        <v>1386294.8998827871</v>
      </c>
      <c r="M36" s="79">
        <f>'Operating Model'!M93*M39</f>
        <v>1523308.046104511</v>
      </c>
      <c r="N36" s="79">
        <f>'Operating Model'!N93*N39</f>
        <v>1674751.3242672205</v>
      </c>
      <c r="O36" s="47"/>
    </row>
    <row r="37" spans="2:15" ht="15">
      <c r="B37" s="11" t="s">
        <v>285</v>
      </c>
      <c r="C37" s="46"/>
      <c r="D37" s="46"/>
      <c r="E37" s="17">
        <v>1152546</v>
      </c>
      <c r="F37" s="17">
        <v>1308699</v>
      </c>
      <c r="G37" s="17">
        <v>1473541</v>
      </c>
      <c r="H37" s="17">
        <v>1966895</v>
      </c>
      <c r="I37" s="23">
        <v>1933767</v>
      </c>
      <c r="J37" s="79">
        <f>AVERAGE(I43,J43)</f>
        <v>1982501.8509334303</v>
      </c>
      <c r="K37" s="79">
        <f>AVERAGE(J43,K43)</f>
        <v>2004023.3136574535</v>
      </c>
      <c r="L37" s="79">
        <f>AVERAGE(K43,L43)</f>
        <v>2066003.5656408481</v>
      </c>
      <c r="M37" s="79">
        <f>AVERAGE(L43,M43)</f>
        <v>2143085.066962703</v>
      </c>
      <c r="N37" s="79">
        <f>AVERAGE(M43,N43)</f>
        <v>2235100.6671980764</v>
      </c>
      <c r="O37" s="47"/>
    </row>
    <row r="38" spans="2:15" ht="15">
      <c r="B38" s="11"/>
      <c r="C38" s="46"/>
      <c r="D38" s="46"/>
      <c r="E38" s="46"/>
      <c r="F38" s="46"/>
      <c r="G38" s="46"/>
      <c r="H38" s="46"/>
      <c r="I38" s="157"/>
      <c r="J38" s="157"/>
      <c r="K38" s="157"/>
      <c r="L38" s="157"/>
      <c r="M38" s="157"/>
      <c r="N38" s="157"/>
      <c r="O38" s="47"/>
    </row>
    <row r="39" spans="2:15" ht="15">
      <c r="B39" s="11" t="s">
        <v>286</v>
      </c>
      <c r="C39" s="46"/>
      <c r="D39" s="46"/>
      <c r="E39" s="39">
        <f>E36/'Operating Model'!E93</f>
        <v>0.9461092030217018</v>
      </c>
      <c r="F39" s="39">
        <f>F36/'Operating Model'!F93</f>
        <v>0.9401339620253419</v>
      </c>
      <c r="G39" s="39">
        <f>G36/'Operating Model'!G93</f>
        <v>0.9403749774266164</v>
      </c>
      <c r="H39" s="39">
        <f>H36/'Operating Model'!H93</f>
        <v>0.9063323750520647</v>
      </c>
      <c r="I39" s="38">
        <f>I36/'Operating Model'!I93</f>
        <v>0.7258495669159667</v>
      </c>
      <c r="J39" s="40">
        <v>0.75</v>
      </c>
      <c r="K39" s="40">
        <v>0.75</v>
      </c>
      <c r="L39" s="40">
        <v>0.8</v>
      </c>
      <c r="M39" s="40">
        <v>0.85</v>
      </c>
      <c r="N39" s="40">
        <v>0.9</v>
      </c>
      <c r="O39" s="47"/>
    </row>
    <row r="40" spans="2:15" ht="15">
      <c r="B40" s="11" t="s">
        <v>287</v>
      </c>
      <c r="C40" s="46"/>
      <c r="D40" s="46"/>
      <c r="E40" s="40">
        <v>0.0748951505800679</v>
      </c>
      <c r="F40" s="39">
        <f aca="true" t="shared" si="10" ref="F40:N40">F36/E36-1</f>
        <v>0.10023711474731467</v>
      </c>
      <c r="G40" s="39">
        <f t="shared" si="10"/>
        <v>0.12391161961259045</v>
      </c>
      <c r="H40" s="39">
        <f t="shared" si="10"/>
        <v>0.18327203033809014</v>
      </c>
      <c r="I40" s="38">
        <f t="shared" si="10"/>
        <v>-0.03748255546298218</v>
      </c>
      <c r="J40" s="39">
        <f t="shared" si="10"/>
        <v>0.038333494085661446</v>
      </c>
      <c r="K40" s="39">
        <f t="shared" si="10"/>
        <v>0.01357492449077169</v>
      </c>
      <c r="L40" s="39">
        <f t="shared" si="10"/>
        <v>0.09952196880468889</v>
      </c>
      <c r="M40" s="39">
        <f t="shared" si="10"/>
        <v>0.09883405488493713</v>
      </c>
      <c r="N40" s="39">
        <f t="shared" si="10"/>
        <v>0.09941736902787901</v>
      </c>
      <c r="O40" s="47"/>
    </row>
    <row r="41" spans="2:15" ht="15">
      <c r="B41" s="11"/>
      <c r="C41" s="46"/>
      <c r="D41" s="46"/>
      <c r="E41" s="46"/>
      <c r="F41" s="46"/>
      <c r="G41" s="46"/>
      <c r="H41" s="46"/>
      <c r="I41" s="25"/>
      <c r="J41" s="46"/>
      <c r="K41" s="46"/>
      <c r="L41" s="46"/>
      <c r="M41" s="46"/>
      <c r="N41" s="46"/>
      <c r="O41" s="47"/>
    </row>
    <row r="42" spans="2:15" ht="15">
      <c r="B42" s="11" t="s">
        <v>94</v>
      </c>
      <c r="C42" s="46"/>
      <c r="D42" s="46"/>
      <c r="E42" s="149">
        <f>'Operating Model'!E23</f>
        <v>1198942</v>
      </c>
      <c r="F42" s="149">
        <f>'Operating Model'!F23</f>
        <v>1351520</v>
      </c>
      <c r="G42" s="149">
        <f>'Operating Model'!G23</f>
        <v>1562147</v>
      </c>
      <c r="H42" s="149">
        <f>'Operating Model'!H23</f>
        <v>2175052</v>
      </c>
      <c r="I42" s="150">
        <f>'Operating Model'!I23</f>
        <v>2031989</v>
      </c>
      <c r="J42" s="149">
        <f>'Operating Model'!J23</f>
        <v>2038056.1018668604</v>
      </c>
      <c r="K42" s="149">
        <f>'Operating Model'!K23</f>
        <v>2075430.9254480465</v>
      </c>
      <c r="L42" s="149">
        <f>'Operating Model'!L23</f>
        <v>2160814.2058340833</v>
      </c>
      <c r="M42" s="149">
        <f>'Operating Model'!M23</f>
        <v>2228529.1280921903</v>
      </c>
      <c r="N42" s="149">
        <f>'Operating Model'!N23</f>
        <v>2344012.60630483</v>
      </c>
      <c r="O42" s="47"/>
    </row>
    <row r="43" spans="2:15" ht="15">
      <c r="B43" s="11" t="s">
        <v>288</v>
      </c>
      <c r="C43" s="46"/>
      <c r="D43" s="46"/>
      <c r="E43" s="79">
        <f aca="true" t="shared" si="11" ref="E43:N43">E42-SUM(E12:E15)</f>
        <v>1150927</v>
      </c>
      <c r="F43" s="79">
        <f t="shared" si="11"/>
        <v>1302253</v>
      </c>
      <c r="G43" s="79">
        <f t="shared" si="11"/>
        <v>1511742</v>
      </c>
      <c r="H43" s="79">
        <f t="shared" si="11"/>
        <v>2121931</v>
      </c>
      <c r="I43" s="80">
        <f t="shared" si="11"/>
        <v>1979985</v>
      </c>
      <c r="J43" s="79">
        <f t="shared" si="11"/>
        <v>1985018.7018668605</v>
      </c>
      <c r="K43" s="79">
        <f t="shared" si="11"/>
        <v>2023027.9254480465</v>
      </c>
      <c r="L43" s="79">
        <f t="shared" si="11"/>
        <v>2108979.2058340833</v>
      </c>
      <c r="M43" s="79">
        <f t="shared" si="11"/>
        <v>2177190.92809219</v>
      </c>
      <c r="N43" s="79">
        <f t="shared" si="11"/>
        <v>2293010.4063048298</v>
      </c>
      <c r="O43" s="47"/>
    </row>
    <row r="44" spans="2:15" ht="15">
      <c r="B44" s="11" t="s">
        <v>289</v>
      </c>
      <c r="C44" s="46"/>
      <c r="D44" s="46"/>
      <c r="E44" s="79">
        <f>E7-SUM(E12:E15)</f>
        <v>59196</v>
      </c>
      <c r="F44" s="79">
        <f aca="true" t="shared" si="12" ref="F44:N44">F7-SUM(F12:F15)</f>
        <v>66523</v>
      </c>
      <c r="G44" s="79">
        <f t="shared" si="12"/>
        <v>72816</v>
      </c>
      <c r="H44" s="79">
        <f t="shared" si="12"/>
        <v>113763</v>
      </c>
      <c r="I44" s="80">
        <f t="shared" si="12"/>
        <v>113361</v>
      </c>
      <c r="J44" s="79">
        <f t="shared" si="12"/>
        <v>134257.59579054514</v>
      </c>
      <c r="K44" s="79">
        <f t="shared" si="12"/>
        <v>160232.0271263995</v>
      </c>
      <c r="L44" s="79">
        <f t="shared" si="12"/>
        <v>188629.99311784527</v>
      </c>
      <c r="M44" s="79">
        <f t="shared" si="12"/>
        <v>219683.71523474978</v>
      </c>
      <c r="N44" s="79">
        <f t="shared" si="12"/>
        <v>252479.18356186606</v>
      </c>
      <c r="O44" s="47"/>
    </row>
    <row r="45" spans="2:15" ht="15">
      <c r="B45" s="11"/>
      <c r="C45" s="46"/>
      <c r="D45" s="46"/>
      <c r="E45" s="46"/>
      <c r="F45" s="46"/>
      <c r="G45" s="46"/>
      <c r="H45" s="46"/>
      <c r="I45" s="25"/>
      <c r="J45" s="46"/>
      <c r="K45" s="46"/>
      <c r="L45" s="46"/>
      <c r="M45" s="46"/>
      <c r="N45" s="46"/>
      <c r="O45" s="47"/>
    </row>
    <row r="46" spans="2:15" ht="15">
      <c r="B46" s="2" t="s">
        <v>290</v>
      </c>
      <c r="C46" s="46"/>
      <c r="D46" s="46"/>
      <c r="E46" s="38">
        <f aca="true" t="shared" si="13" ref="E46:N46">E16/E36</f>
        <v>0.07015281381260999</v>
      </c>
      <c r="F46" s="38">
        <f t="shared" si="13"/>
        <v>0.07274745728484286</v>
      </c>
      <c r="G46" s="38">
        <f t="shared" si="13"/>
        <v>0.07010407090549388</v>
      </c>
      <c r="H46" s="38">
        <f t="shared" si="13"/>
        <v>0.06982474717974964</v>
      </c>
      <c r="I46" s="38">
        <f t="shared" si="13"/>
        <v>0.08788269841720325</v>
      </c>
      <c r="J46" s="38">
        <f t="shared" si="13"/>
        <v>0.10137678208181931</v>
      </c>
      <c r="K46" s="38">
        <f t="shared" si="13"/>
        <v>0.12062031740578973</v>
      </c>
      <c r="L46" s="38">
        <f t="shared" si="13"/>
        <v>0.13018730223497532</v>
      </c>
      <c r="M46" s="38">
        <f t="shared" si="13"/>
        <v>0.13886338733369824</v>
      </c>
      <c r="N46" s="38">
        <f t="shared" si="13"/>
        <v>0.14588863434323318</v>
      </c>
      <c r="O46" s="47"/>
    </row>
    <row r="47" spans="2:15" ht="15">
      <c r="B47" s="2" t="s">
        <v>291</v>
      </c>
      <c r="C47" s="46"/>
      <c r="D47" s="46"/>
      <c r="E47" s="38">
        <f aca="true" t="shared" si="14" ref="E47:N47">E20/E36</f>
        <v>0.0851990788144968</v>
      </c>
      <c r="F47" s="38">
        <f t="shared" si="14"/>
        <v>0.08660564221521537</v>
      </c>
      <c r="G47" s="38">
        <f t="shared" si="14"/>
        <v>0.0843690196305849</v>
      </c>
      <c r="H47" s="38">
        <f t="shared" si="14"/>
        <v>0.1093504325281061</v>
      </c>
      <c r="I47" s="38">
        <f t="shared" si="14"/>
        <v>0.11099360103371769</v>
      </c>
      <c r="J47" s="38">
        <f t="shared" si="14"/>
        <v>0.12363446975938529</v>
      </c>
      <c r="K47" s="38">
        <f t="shared" si="14"/>
        <v>0.14257990533536327</v>
      </c>
      <c r="L47" s="38">
        <f t="shared" si="14"/>
        <v>0.1501592432717208</v>
      </c>
      <c r="M47" s="38">
        <f t="shared" si="14"/>
        <v>0.15703896256997613</v>
      </c>
      <c r="N47" s="38">
        <f t="shared" si="14"/>
        <v>0.16242064097539052</v>
      </c>
      <c r="O47" s="47"/>
    </row>
    <row r="48" spans="2:15" ht="15">
      <c r="B48" s="2" t="s">
        <v>292</v>
      </c>
      <c r="C48" s="46"/>
      <c r="D48" s="46"/>
      <c r="E48" s="38">
        <f aca="true" t="shared" si="15" ref="E48:N48">E34/E36</f>
        <v>0.12042302117339472</v>
      </c>
      <c r="F48" s="38">
        <f t="shared" si="15"/>
        <v>0.12315834124898895</v>
      </c>
      <c r="G48" s="38">
        <f t="shared" si="15"/>
        <v>0.1257197833591126</v>
      </c>
      <c r="H48" s="38">
        <f t="shared" si="15"/>
        <v>0.14841012678974724</v>
      </c>
      <c r="I48" s="38">
        <f t="shared" si="15"/>
        <v>0.1478064383650833</v>
      </c>
      <c r="J48" s="38">
        <f t="shared" si="15"/>
        <v>0.16263879703461306</v>
      </c>
      <c r="K48" s="38">
        <f t="shared" si="15"/>
        <v>0.1808368021368072</v>
      </c>
      <c r="L48" s="38">
        <f t="shared" si="15"/>
        <v>0.18336361860093453</v>
      </c>
      <c r="M48" s="38">
        <f t="shared" si="15"/>
        <v>0.18588689151753646</v>
      </c>
      <c r="N48" s="38">
        <f t="shared" si="15"/>
        <v>0.18828536457653636</v>
      </c>
      <c r="O48" s="47"/>
    </row>
    <row r="49" spans="2:15" ht="15">
      <c r="B49" s="3" t="s">
        <v>293</v>
      </c>
      <c r="C49" s="48"/>
      <c r="D49" s="48"/>
      <c r="E49" s="158">
        <f aca="true" t="shared" si="16" ref="E49:N49">E20/E37</f>
        <v>0.06288165504890911</v>
      </c>
      <c r="F49" s="158">
        <f t="shared" si="16"/>
        <v>0.06193555584592026</v>
      </c>
      <c r="G49" s="158">
        <f t="shared" si="16"/>
        <v>0.0602263527109188</v>
      </c>
      <c r="H49" s="158">
        <f t="shared" si="16"/>
        <v>0.0691973897945747</v>
      </c>
      <c r="I49" s="158">
        <f t="shared" si="16"/>
        <v>0.068762679267978</v>
      </c>
      <c r="J49" s="158">
        <f t="shared" si="16"/>
        <v>0.07757500741708477</v>
      </c>
      <c r="K49" s="158">
        <f t="shared" si="16"/>
        <v>0.08970306178639945</v>
      </c>
      <c r="L49" s="158">
        <f t="shared" si="16"/>
        <v>0.10075732519526176</v>
      </c>
      <c r="M49" s="158">
        <f t="shared" si="16"/>
        <v>0.11162352765295666</v>
      </c>
      <c r="N49" s="158">
        <f t="shared" si="16"/>
        <v>0.12170108825696124</v>
      </c>
      <c r="O49" s="49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5" width="10.00390625" style="0" customWidth="1"/>
    <col min="6" max="9" width="10.00390625" style="0" bestFit="1" customWidth="1"/>
    <col min="10" max="14" width="10.00390625" style="0" customWidth="1"/>
    <col min="15" max="15" width="2.7109375" style="0" customWidth="1"/>
  </cols>
  <sheetData>
    <row r="2" spans="2:15" ht="15">
      <c r="B2" s="42" t="str">
        <f>Company_Name&amp;" - Loan Portfolio"</f>
        <v>JPMorgan Chase &amp; Co. - Loan Portfolio</v>
      </c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2:15" ht="15">
      <c r="B3" s="11" t="s">
        <v>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ht="15">
      <c r="B4" s="11"/>
      <c r="C4" s="46"/>
      <c r="D4" s="46"/>
      <c r="E4" s="13" t="s">
        <v>27</v>
      </c>
      <c r="F4" s="13"/>
      <c r="G4" s="13"/>
      <c r="H4" s="13"/>
      <c r="I4" s="13"/>
      <c r="J4" s="12" t="s">
        <v>28</v>
      </c>
      <c r="K4" s="12"/>
      <c r="L4" s="12"/>
      <c r="M4" s="12"/>
      <c r="N4" s="12"/>
      <c r="O4" s="47"/>
    </row>
    <row r="5" spans="2:15" ht="15">
      <c r="B5" s="14" t="str">
        <f>TEXT(MONTH(Hist_Year)*M_Const,"mmmm")&amp;" "&amp;TEXT(DAY(Hist_Year),"d")&amp;", "</f>
        <v>December 31, </v>
      </c>
      <c r="C5" s="48"/>
      <c r="D5" s="48"/>
      <c r="E5" s="15">
        <f>F5-1</f>
        <v>2005</v>
      </c>
      <c r="F5" s="15">
        <f>G5-1</f>
        <v>2006</v>
      </c>
      <c r="G5" s="15">
        <f>H5-1</f>
        <v>2007</v>
      </c>
      <c r="H5" s="15">
        <f>I5-1</f>
        <v>2008</v>
      </c>
      <c r="I5" s="37">
        <f>YEAR(Hist_Year)</f>
        <v>2009</v>
      </c>
      <c r="J5" s="15">
        <f>I5+1</f>
        <v>2010</v>
      </c>
      <c r="K5" s="15">
        <f>J5+1</f>
        <v>2011</v>
      </c>
      <c r="L5" s="15">
        <f>K5+1</f>
        <v>2012</v>
      </c>
      <c r="M5" s="15">
        <f>L5+1</f>
        <v>2013</v>
      </c>
      <c r="N5" s="15">
        <f>M5+1</f>
        <v>2014</v>
      </c>
      <c r="O5" s="47"/>
    </row>
    <row r="6" spans="2:15" ht="15">
      <c r="B6" s="2" t="s">
        <v>10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2:15" ht="15">
      <c r="B7" s="4" t="s">
        <v>16</v>
      </c>
      <c r="C7" s="46"/>
      <c r="D7" s="46"/>
      <c r="E7" s="16">
        <v>43578</v>
      </c>
      <c r="F7" s="16">
        <v>48500</v>
      </c>
      <c r="G7" s="16">
        <v>70081</v>
      </c>
      <c r="H7" s="16">
        <v>74153</v>
      </c>
      <c r="I7" s="22">
        <v>51113</v>
      </c>
      <c r="J7" s="19">
        <f aca="true" t="shared" si="0" ref="J7:N11">I7*(1+J39)</f>
        <v>56224.3</v>
      </c>
      <c r="K7" s="19">
        <f t="shared" si="0"/>
        <v>60441.1225</v>
      </c>
      <c r="L7" s="19">
        <f t="shared" si="0"/>
        <v>64974.206687499995</v>
      </c>
      <c r="M7" s="19">
        <f t="shared" si="0"/>
        <v>68222.917021875</v>
      </c>
      <c r="N7" s="19">
        <f t="shared" si="0"/>
        <v>71634.06287296875</v>
      </c>
      <c r="O7" s="47"/>
    </row>
    <row r="8" spans="2:15" ht="15">
      <c r="B8" s="4" t="s">
        <v>15</v>
      </c>
      <c r="C8" s="46"/>
      <c r="D8" s="46"/>
      <c r="E8" s="17">
        <v>16505</v>
      </c>
      <c r="F8" s="17">
        <v>18047</v>
      </c>
      <c r="G8" s="17">
        <v>15977</v>
      </c>
      <c r="H8" s="17">
        <v>61890</v>
      </c>
      <c r="I8" s="23">
        <v>54970</v>
      </c>
      <c r="J8" s="20">
        <f t="shared" si="0"/>
        <v>60467.00000000001</v>
      </c>
      <c r="K8" s="20">
        <f t="shared" si="0"/>
        <v>65002.02500000001</v>
      </c>
      <c r="L8" s="20">
        <f t="shared" si="0"/>
        <v>69877.176875</v>
      </c>
      <c r="M8" s="20">
        <f t="shared" si="0"/>
        <v>73371.03571875</v>
      </c>
      <c r="N8" s="20">
        <f t="shared" si="0"/>
        <v>77039.58750468752</v>
      </c>
      <c r="O8" s="47"/>
    </row>
    <row r="9" spans="2:15" ht="15">
      <c r="B9" s="4" t="s">
        <v>12</v>
      </c>
      <c r="C9" s="46"/>
      <c r="D9" s="46"/>
      <c r="E9" s="17">
        <v>13681</v>
      </c>
      <c r="F9" s="17">
        <v>15632</v>
      </c>
      <c r="G9" s="17">
        <v>15113</v>
      </c>
      <c r="H9" s="17">
        <v>20953</v>
      </c>
      <c r="I9" s="23">
        <v>13557</v>
      </c>
      <c r="J9" s="20">
        <f t="shared" si="0"/>
        <v>14234.85</v>
      </c>
      <c r="K9" s="20">
        <f t="shared" si="0"/>
        <v>14946.5925</v>
      </c>
      <c r="L9" s="20">
        <f t="shared" si="0"/>
        <v>15693.922125000001</v>
      </c>
      <c r="M9" s="20">
        <f t="shared" si="0"/>
        <v>16086.270178125</v>
      </c>
      <c r="N9" s="20">
        <f t="shared" si="0"/>
        <v>16488.426932578124</v>
      </c>
      <c r="O9" s="47"/>
    </row>
    <row r="10" spans="2:15" ht="15">
      <c r="B10" s="4" t="s">
        <v>13</v>
      </c>
      <c r="C10" s="46"/>
      <c r="D10" s="46"/>
      <c r="E10" s="17">
        <v>3709</v>
      </c>
      <c r="F10" s="17">
        <v>4148</v>
      </c>
      <c r="G10" s="17">
        <v>5770</v>
      </c>
      <c r="H10" s="17">
        <v>5919</v>
      </c>
      <c r="I10" s="23">
        <v>5634</v>
      </c>
      <c r="J10" s="20">
        <f t="shared" si="0"/>
        <v>6197.400000000001</v>
      </c>
      <c r="K10" s="20">
        <f t="shared" si="0"/>
        <v>6817.140000000001</v>
      </c>
      <c r="L10" s="20">
        <f t="shared" si="0"/>
        <v>7328.425500000001</v>
      </c>
      <c r="M10" s="20">
        <f t="shared" si="0"/>
        <v>7878.057412500001</v>
      </c>
      <c r="N10" s="20">
        <f t="shared" si="0"/>
        <v>8271.960283125001</v>
      </c>
      <c r="O10" s="47"/>
    </row>
    <row r="11" spans="2:15" ht="15">
      <c r="B11" s="4" t="s">
        <v>14</v>
      </c>
      <c r="C11" s="46"/>
      <c r="D11" s="46"/>
      <c r="E11" s="17">
        <v>34592</v>
      </c>
      <c r="F11" s="17">
        <v>32359</v>
      </c>
      <c r="G11" s="17">
        <v>26312</v>
      </c>
      <c r="H11" s="17">
        <v>23861</v>
      </c>
      <c r="I11" s="23">
        <v>23811</v>
      </c>
      <c r="J11" s="20">
        <f t="shared" si="0"/>
        <v>25001.55</v>
      </c>
      <c r="K11" s="20">
        <f t="shared" si="0"/>
        <v>26251.6275</v>
      </c>
      <c r="L11" s="20">
        <f t="shared" si="0"/>
        <v>27564.208875</v>
      </c>
      <c r="M11" s="20">
        <f t="shared" si="0"/>
        <v>28253.314096874998</v>
      </c>
      <c r="N11" s="20">
        <f t="shared" si="0"/>
        <v>28959.64694929687</v>
      </c>
      <c r="O11" s="47"/>
    </row>
    <row r="12" spans="2:15" ht="15">
      <c r="B12" s="26" t="s">
        <v>11</v>
      </c>
      <c r="C12" s="64"/>
      <c r="D12" s="64"/>
      <c r="E12" s="18">
        <f aca="true" t="shared" si="1" ref="E12:N12">SUM(E7:E11)</f>
        <v>112065</v>
      </c>
      <c r="F12" s="18">
        <f t="shared" si="1"/>
        <v>118686</v>
      </c>
      <c r="G12" s="18">
        <f t="shared" si="1"/>
        <v>133253</v>
      </c>
      <c r="H12" s="18">
        <f t="shared" si="1"/>
        <v>186776</v>
      </c>
      <c r="I12" s="18">
        <f t="shared" si="1"/>
        <v>149085</v>
      </c>
      <c r="J12" s="18">
        <f t="shared" si="1"/>
        <v>162125.1</v>
      </c>
      <c r="K12" s="18">
        <f t="shared" si="1"/>
        <v>173458.50750000004</v>
      </c>
      <c r="L12" s="18">
        <f t="shared" si="1"/>
        <v>185437.94006250004</v>
      </c>
      <c r="M12" s="18">
        <f t="shared" si="1"/>
        <v>193811.594428125</v>
      </c>
      <c r="N12" s="18">
        <f t="shared" si="1"/>
        <v>202393.68454265626</v>
      </c>
      <c r="O12" s="47"/>
    </row>
    <row r="13" spans="2:15" ht="15">
      <c r="B13" s="2" t="s">
        <v>17</v>
      </c>
      <c r="C13" s="46"/>
      <c r="D13" s="46"/>
      <c r="E13" s="29"/>
      <c r="F13" s="29"/>
      <c r="G13" s="29"/>
      <c r="H13" s="29"/>
      <c r="I13" s="29"/>
      <c r="J13" s="46"/>
      <c r="K13" s="46"/>
      <c r="L13" s="46"/>
      <c r="M13" s="46"/>
      <c r="N13" s="46"/>
      <c r="O13" s="47"/>
    </row>
    <row r="14" spans="2:15" ht="15">
      <c r="B14" s="4" t="str">
        <f>B7</f>
        <v>Commercial and Industrial:</v>
      </c>
      <c r="C14" s="46"/>
      <c r="D14" s="46"/>
      <c r="E14" s="17">
        <v>18545</v>
      </c>
      <c r="F14" s="17">
        <v>22378</v>
      </c>
      <c r="G14" s="17">
        <v>33829</v>
      </c>
      <c r="H14" s="17">
        <v>35291</v>
      </c>
      <c r="I14" s="23">
        <v>20188</v>
      </c>
      <c r="J14" s="20">
        <f aca="true" t="shared" si="2" ref="J14:N18">I14*(1+J46)</f>
        <v>21702.1</v>
      </c>
      <c r="K14" s="20">
        <f t="shared" si="2"/>
        <v>23329.757499999996</v>
      </c>
      <c r="L14" s="20">
        <f t="shared" si="2"/>
        <v>25079.489312499994</v>
      </c>
      <c r="M14" s="20">
        <f t="shared" si="2"/>
        <v>26333.463778124995</v>
      </c>
      <c r="N14" s="20">
        <f t="shared" si="2"/>
        <v>27650.136967031245</v>
      </c>
      <c r="O14" s="47"/>
    </row>
    <row r="15" spans="2:15" ht="15">
      <c r="B15" s="4" t="str">
        <f>B8</f>
        <v>Real Estate:</v>
      </c>
      <c r="C15" s="46"/>
      <c r="D15" s="46"/>
      <c r="E15" s="17">
        <v>1393</v>
      </c>
      <c r="F15" s="17">
        <v>2325</v>
      </c>
      <c r="G15" s="17">
        <v>3632</v>
      </c>
      <c r="H15" s="17">
        <v>2811</v>
      </c>
      <c r="I15" s="23">
        <v>2270</v>
      </c>
      <c r="J15" s="20">
        <f t="shared" si="2"/>
        <v>2440.25</v>
      </c>
      <c r="K15" s="20">
        <f t="shared" si="2"/>
        <v>2623.2687499999997</v>
      </c>
      <c r="L15" s="20">
        <f t="shared" si="2"/>
        <v>2820.0139062499998</v>
      </c>
      <c r="M15" s="20">
        <f t="shared" si="2"/>
        <v>2961.0146015625</v>
      </c>
      <c r="N15" s="20">
        <f t="shared" si="2"/>
        <v>3109.065331640625</v>
      </c>
      <c r="O15" s="47"/>
    </row>
    <row r="16" spans="2:15" ht="15">
      <c r="B16" s="4" t="str">
        <f>B9</f>
        <v>Financial Institutions</v>
      </c>
      <c r="C16" s="46"/>
      <c r="D16" s="46"/>
      <c r="E16" s="17">
        <v>8093</v>
      </c>
      <c r="F16" s="17">
        <v>19174</v>
      </c>
      <c r="G16" s="17">
        <v>17245</v>
      </c>
      <c r="H16" s="17">
        <v>17552</v>
      </c>
      <c r="I16" s="23">
        <v>11848</v>
      </c>
      <c r="J16" s="20">
        <f t="shared" si="2"/>
        <v>12440.4</v>
      </c>
      <c r="K16" s="20">
        <f t="shared" si="2"/>
        <v>13062.42</v>
      </c>
      <c r="L16" s="20">
        <f t="shared" si="2"/>
        <v>13715.541000000001</v>
      </c>
      <c r="M16" s="20">
        <f t="shared" si="2"/>
        <v>14058.429525</v>
      </c>
      <c r="N16" s="20">
        <f t="shared" si="2"/>
        <v>14409.890263124998</v>
      </c>
      <c r="O16" s="47"/>
    </row>
    <row r="17" spans="2:15" ht="15">
      <c r="B17" s="4" t="str">
        <f>B10</f>
        <v>Government Agencies:</v>
      </c>
      <c r="C17" s="46"/>
      <c r="D17" s="46"/>
      <c r="E17" s="17">
        <v>1296</v>
      </c>
      <c r="F17" s="17">
        <v>2543</v>
      </c>
      <c r="G17" s="17">
        <v>720</v>
      </c>
      <c r="H17" s="17">
        <v>602</v>
      </c>
      <c r="I17" s="23">
        <v>1707</v>
      </c>
      <c r="J17" s="20">
        <f t="shared" si="2"/>
        <v>2048.4</v>
      </c>
      <c r="K17" s="20">
        <f t="shared" si="2"/>
        <v>2355.66</v>
      </c>
      <c r="L17" s="20">
        <f t="shared" si="2"/>
        <v>2591.226</v>
      </c>
      <c r="M17" s="20">
        <f t="shared" si="2"/>
        <v>2850.3486000000003</v>
      </c>
      <c r="N17" s="20">
        <f t="shared" si="2"/>
        <v>3135.3834600000005</v>
      </c>
      <c r="O17" s="47"/>
    </row>
    <row r="18" spans="2:15" ht="15">
      <c r="B18" s="4" t="str">
        <f>B11</f>
        <v>Other:</v>
      </c>
      <c r="C18" s="46"/>
      <c r="D18" s="46"/>
      <c r="E18" s="17">
        <v>8719</v>
      </c>
      <c r="F18" s="17">
        <v>18636</v>
      </c>
      <c r="G18" s="17">
        <v>24397</v>
      </c>
      <c r="H18" s="17">
        <v>19012</v>
      </c>
      <c r="I18" s="23">
        <v>19077</v>
      </c>
      <c r="J18" s="20">
        <f t="shared" si="2"/>
        <v>20030.850000000002</v>
      </c>
      <c r="K18" s="20">
        <f t="shared" si="2"/>
        <v>21032.3925</v>
      </c>
      <c r="L18" s="20">
        <f t="shared" si="2"/>
        <v>22084.012125</v>
      </c>
      <c r="M18" s="20">
        <f t="shared" si="2"/>
        <v>23188.21273125</v>
      </c>
      <c r="N18" s="20">
        <f t="shared" si="2"/>
        <v>24347.623367812503</v>
      </c>
      <c r="O18" s="47"/>
    </row>
    <row r="19" spans="2:15" ht="15">
      <c r="B19" s="26" t="s">
        <v>18</v>
      </c>
      <c r="C19" s="64"/>
      <c r="D19" s="64"/>
      <c r="E19" s="18">
        <f aca="true" t="shared" si="3" ref="E19:N19">SUM(E14:E18)</f>
        <v>38046</v>
      </c>
      <c r="F19" s="18">
        <f t="shared" si="3"/>
        <v>65056</v>
      </c>
      <c r="G19" s="18">
        <f t="shared" si="3"/>
        <v>79823</v>
      </c>
      <c r="H19" s="18">
        <f t="shared" si="3"/>
        <v>75268</v>
      </c>
      <c r="I19" s="18">
        <f t="shared" si="3"/>
        <v>55090</v>
      </c>
      <c r="J19" s="18">
        <f t="shared" si="3"/>
        <v>58662</v>
      </c>
      <c r="K19" s="18">
        <f t="shared" si="3"/>
        <v>62403.49875</v>
      </c>
      <c r="L19" s="18">
        <f t="shared" si="3"/>
        <v>66290.28234375</v>
      </c>
      <c r="M19" s="18">
        <f t="shared" si="3"/>
        <v>69391.46923593749</v>
      </c>
      <c r="N19" s="18">
        <f t="shared" si="3"/>
        <v>72652.09938960937</v>
      </c>
      <c r="O19" s="47"/>
    </row>
    <row r="20" spans="2:15" ht="15">
      <c r="B20" s="2" t="s">
        <v>19</v>
      </c>
      <c r="C20" s="46"/>
      <c r="D20" s="46"/>
      <c r="E20" s="65"/>
      <c r="F20" s="65"/>
      <c r="G20" s="65"/>
      <c r="H20" s="65"/>
      <c r="I20" s="65"/>
      <c r="J20" s="46"/>
      <c r="K20" s="46"/>
      <c r="L20" s="46"/>
      <c r="M20" s="46"/>
      <c r="N20" s="46"/>
      <c r="O20" s="47"/>
    </row>
    <row r="21" spans="2:15" ht="15">
      <c r="B21" s="4" t="str">
        <f>B14</f>
        <v>Commercial and Industrial:</v>
      </c>
      <c r="C21" s="46"/>
      <c r="D21" s="46"/>
      <c r="E21" s="20">
        <f aca="true" t="shared" si="4" ref="E21:N21">E14+E7</f>
        <v>62123</v>
      </c>
      <c r="F21" s="20">
        <f t="shared" si="4"/>
        <v>70878</v>
      </c>
      <c r="G21" s="20">
        <f t="shared" si="4"/>
        <v>103910</v>
      </c>
      <c r="H21" s="20">
        <f t="shared" si="4"/>
        <v>109444</v>
      </c>
      <c r="I21" s="24">
        <f t="shared" si="4"/>
        <v>71301</v>
      </c>
      <c r="J21" s="20">
        <f t="shared" si="4"/>
        <v>77926.4</v>
      </c>
      <c r="K21" s="20">
        <f t="shared" si="4"/>
        <v>83770.87999999999</v>
      </c>
      <c r="L21" s="20">
        <f t="shared" si="4"/>
        <v>90053.696</v>
      </c>
      <c r="M21" s="20">
        <f t="shared" si="4"/>
        <v>94556.38079999998</v>
      </c>
      <c r="N21" s="20">
        <f t="shared" si="4"/>
        <v>99284.19983999999</v>
      </c>
      <c r="O21" s="47"/>
    </row>
    <row r="22" spans="2:15" ht="15">
      <c r="B22" s="4" t="str">
        <f>B15</f>
        <v>Real Estate:</v>
      </c>
      <c r="C22" s="46"/>
      <c r="D22" s="46"/>
      <c r="E22" s="20">
        <f aca="true" t="shared" si="5" ref="E22:N22">E15+E8</f>
        <v>17898</v>
      </c>
      <c r="F22" s="20">
        <f t="shared" si="5"/>
        <v>20372</v>
      </c>
      <c r="G22" s="20">
        <f t="shared" si="5"/>
        <v>19609</v>
      </c>
      <c r="H22" s="20">
        <f t="shared" si="5"/>
        <v>64701</v>
      </c>
      <c r="I22" s="24">
        <f t="shared" si="5"/>
        <v>57240</v>
      </c>
      <c r="J22" s="20">
        <f t="shared" si="5"/>
        <v>62907.25000000001</v>
      </c>
      <c r="K22" s="20">
        <f t="shared" si="5"/>
        <v>67625.29375000001</v>
      </c>
      <c r="L22" s="20">
        <f t="shared" si="5"/>
        <v>72697.19078125</v>
      </c>
      <c r="M22" s="20">
        <f t="shared" si="5"/>
        <v>76332.05032031251</v>
      </c>
      <c r="N22" s="20">
        <f t="shared" si="5"/>
        <v>80148.65283632814</v>
      </c>
      <c r="O22" s="47"/>
    </row>
    <row r="23" spans="2:15" ht="15">
      <c r="B23" s="4" t="str">
        <f>B16</f>
        <v>Financial Institutions</v>
      </c>
      <c r="C23" s="46"/>
      <c r="D23" s="46"/>
      <c r="E23" s="20">
        <f aca="true" t="shared" si="6" ref="E23:N23">E16+E9</f>
        <v>21774</v>
      </c>
      <c r="F23" s="20">
        <f t="shared" si="6"/>
        <v>34806</v>
      </c>
      <c r="G23" s="20">
        <f t="shared" si="6"/>
        <v>32358</v>
      </c>
      <c r="H23" s="20">
        <f t="shared" si="6"/>
        <v>38505</v>
      </c>
      <c r="I23" s="24">
        <f t="shared" si="6"/>
        <v>25405</v>
      </c>
      <c r="J23" s="20">
        <f t="shared" si="6"/>
        <v>26675.25</v>
      </c>
      <c r="K23" s="20">
        <f t="shared" si="6"/>
        <v>28009.0125</v>
      </c>
      <c r="L23" s="20">
        <f t="shared" si="6"/>
        <v>29409.463125000002</v>
      </c>
      <c r="M23" s="20">
        <f t="shared" si="6"/>
        <v>30144.699703125</v>
      </c>
      <c r="N23" s="20">
        <f t="shared" si="6"/>
        <v>30898.317195703123</v>
      </c>
      <c r="O23" s="47"/>
    </row>
    <row r="24" spans="2:15" ht="15">
      <c r="B24" s="4" t="str">
        <f>B17</f>
        <v>Government Agencies:</v>
      </c>
      <c r="C24" s="46"/>
      <c r="D24" s="46"/>
      <c r="E24" s="20">
        <f aca="true" t="shared" si="7" ref="E24:N24">E17+E10</f>
        <v>5005</v>
      </c>
      <c r="F24" s="20">
        <f t="shared" si="7"/>
        <v>6691</v>
      </c>
      <c r="G24" s="20">
        <f t="shared" si="7"/>
        <v>6490</v>
      </c>
      <c r="H24" s="20">
        <f t="shared" si="7"/>
        <v>6521</v>
      </c>
      <c r="I24" s="24">
        <f t="shared" si="7"/>
        <v>7341</v>
      </c>
      <c r="J24" s="20">
        <f t="shared" si="7"/>
        <v>8245.800000000001</v>
      </c>
      <c r="K24" s="20">
        <f t="shared" si="7"/>
        <v>9172.800000000001</v>
      </c>
      <c r="L24" s="20">
        <f t="shared" si="7"/>
        <v>9919.651500000002</v>
      </c>
      <c r="M24" s="20">
        <f t="shared" si="7"/>
        <v>10728.406012500001</v>
      </c>
      <c r="N24" s="20">
        <f t="shared" si="7"/>
        <v>11407.343743125002</v>
      </c>
      <c r="O24" s="47"/>
    </row>
    <row r="25" spans="2:15" ht="15">
      <c r="B25" s="4" t="str">
        <f>B18</f>
        <v>Other:</v>
      </c>
      <c r="C25" s="46"/>
      <c r="D25" s="46"/>
      <c r="E25" s="20">
        <f aca="true" t="shared" si="8" ref="E25:N25">E18+E11</f>
        <v>43311</v>
      </c>
      <c r="F25" s="20">
        <f t="shared" si="8"/>
        <v>50995</v>
      </c>
      <c r="G25" s="20">
        <f t="shared" si="8"/>
        <v>50709</v>
      </c>
      <c r="H25" s="20">
        <f t="shared" si="8"/>
        <v>42873</v>
      </c>
      <c r="I25" s="24">
        <f t="shared" si="8"/>
        <v>42888</v>
      </c>
      <c r="J25" s="20">
        <f t="shared" si="8"/>
        <v>45032.4</v>
      </c>
      <c r="K25" s="20">
        <f t="shared" si="8"/>
        <v>47284.020000000004</v>
      </c>
      <c r="L25" s="20">
        <f t="shared" si="8"/>
        <v>49648.221000000005</v>
      </c>
      <c r="M25" s="20">
        <f t="shared" si="8"/>
        <v>51441.526828125</v>
      </c>
      <c r="N25" s="20">
        <f t="shared" si="8"/>
        <v>53307.270317109374</v>
      </c>
      <c r="O25" s="47"/>
    </row>
    <row r="26" spans="2:15" ht="15">
      <c r="B26" s="26" t="s">
        <v>19</v>
      </c>
      <c r="C26" s="64"/>
      <c r="D26" s="64"/>
      <c r="E26" s="18">
        <f aca="true" t="shared" si="9" ref="E26:N26">SUM(E21:E25)</f>
        <v>150111</v>
      </c>
      <c r="F26" s="18">
        <f t="shared" si="9"/>
        <v>183742</v>
      </c>
      <c r="G26" s="18">
        <f t="shared" si="9"/>
        <v>213076</v>
      </c>
      <c r="H26" s="18">
        <f t="shared" si="9"/>
        <v>262044</v>
      </c>
      <c r="I26" s="18">
        <f t="shared" si="9"/>
        <v>204175</v>
      </c>
      <c r="J26" s="18">
        <f t="shared" si="9"/>
        <v>220787.09999999998</v>
      </c>
      <c r="K26" s="18">
        <f t="shared" si="9"/>
        <v>235862.00625000003</v>
      </c>
      <c r="L26" s="18">
        <f t="shared" si="9"/>
        <v>251728.22240625002</v>
      </c>
      <c r="M26" s="18">
        <f t="shared" si="9"/>
        <v>263203.0636640625</v>
      </c>
      <c r="N26" s="18">
        <f t="shared" si="9"/>
        <v>275045.78393226565</v>
      </c>
      <c r="O26" s="47"/>
    </row>
    <row r="27" spans="2:15" ht="15">
      <c r="B27" s="2" t="s">
        <v>20</v>
      </c>
      <c r="C27" s="46"/>
      <c r="D27" s="46"/>
      <c r="E27" s="65"/>
      <c r="F27" s="65"/>
      <c r="G27" s="65"/>
      <c r="H27" s="65"/>
      <c r="I27" s="65"/>
      <c r="J27" s="46"/>
      <c r="K27" s="46"/>
      <c r="L27" s="46"/>
      <c r="M27" s="46"/>
      <c r="N27" s="46"/>
      <c r="O27" s="47"/>
    </row>
    <row r="28" spans="2:15" ht="15">
      <c r="B28" s="4" t="s">
        <v>22</v>
      </c>
      <c r="C28" s="46"/>
      <c r="D28" s="46"/>
      <c r="E28" s="17">
        <v>73866</v>
      </c>
      <c r="F28" s="17">
        <v>85730</v>
      </c>
      <c r="G28" s="17">
        <v>94832</v>
      </c>
      <c r="H28" s="17">
        <v>142890</v>
      </c>
      <c r="I28" s="23">
        <v>127945</v>
      </c>
      <c r="J28" s="20">
        <f aca="true" t="shared" si="10" ref="J28:N32">I28*(1+J53)</f>
        <v>140739.5</v>
      </c>
      <c r="K28" s="20">
        <f t="shared" si="10"/>
        <v>151294.9625</v>
      </c>
      <c r="L28" s="20">
        <f t="shared" si="10"/>
        <v>162642.0846875</v>
      </c>
      <c r="M28" s="20">
        <f t="shared" si="10"/>
        <v>170774.188921875</v>
      </c>
      <c r="N28" s="20">
        <f t="shared" si="10"/>
        <v>179312.89836796877</v>
      </c>
      <c r="O28" s="47"/>
    </row>
    <row r="29" spans="2:15" ht="15">
      <c r="B29" s="4" t="s">
        <v>23</v>
      </c>
      <c r="C29" s="46"/>
      <c r="D29" s="46"/>
      <c r="E29" s="17">
        <v>58959</v>
      </c>
      <c r="F29" s="17">
        <v>59668</v>
      </c>
      <c r="G29" s="17">
        <v>56031</v>
      </c>
      <c r="H29" s="17">
        <v>157078</v>
      </c>
      <c r="I29" s="23">
        <v>143129</v>
      </c>
      <c r="J29" s="20">
        <f t="shared" si="10"/>
        <v>157441.90000000002</v>
      </c>
      <c r="K29" s="20">
        <f t="shared" si="10"/>
        <v>169250.0425</v>
      </c>
      <c r="L29" s="20">
        <f t="shared" si="10"/>
        <v>181943.7956875</v>
      </c>
      <c r="M29" s="20">
        <f t="shared" si="10"/>
        <v>191040.98547187503</v>
      </c>
      <c r="N29" s="20">
        <f t="shared" si="10"/>
        <v>200593.0347454688</v>
      </c>
      <c r="O29" s="47"/>
    </row>
    <row r="30" spans="2:15" ht="15">
      <c r="B30" s="4" t="s">
        <v>24</v>
      </c>
      <c r="C30" s="46"/>
      <c r="D30" s="46"/>
      <c r="E30" s="17">
        <v>46081</v>
      </c>
      <c r="F30" s="17">
        <v>41009</v>
      </c>
      <c r="G30" s="17">
        <v>42350</v>
      </c>
      <c r="H30" s="17">
        <v>42603</v>
      </c>
      <c r="I30" s="23">
        <v>46031</v>
      </c>
      <c r="J30" s="20">
        <f t="shared" si="10"/>
        <v>50634.100000000006</v>
      </c>
      <c r="K30" s="20">
        <f t="shared" si="10"/>
        <v>55697.51000000001</v>
      </c>
      <c r="L30" s="20">
        <f t="shared" si="10"/>
        <v>61267.26100000001</v>
      </c>
      <c r="M30" s="20">
        <f t="shared" si="10"/>
        <v>65862.305575</v>
      </c>
      <c r="N30" s="20">
        <f t="shared" si="10"/>
        <v>70801.978493125</v>
      </c>
      <c r="O30" s="47"/>
    </row>
    <row r="31" spans="2:15" ht="15">
      <c r="B31" s="4" t="s">
        <v>25</v>
      </c>
      <c r="C31" s="46"/>
      <c r="D31" s="46"/>
      <c r="E31" s="17">
        <v>71738</v>
      </c>
      <c r="F31" s="17">
        <v>85881</v>
      </c>
      <c r="G31" s="17">
        <v>84352</v>
      </c>
      <c r="H31" s="17">
        <v>104746</v>
      </c>
      <c r="I31" s="23">
        <v>78786</v>
      </c>
      <c r="J31" s="20">
        <f t="shared" si="10"/>
        <v>84694.95</v>
      </c>
      <c r="K31" s="20">
        <f t="shared" si="10"/>
        <v>91047.07125</v>
      </c>
      <c r="L31" s="20">
        <f t="shared" si="10"/>
        <v>95599.4248125</v>
      </c>
      <c r="M31" s="20">
        <f t="shared" si="10"/>
        <v>100379.396053125</v>
      </c>
      <c r="N31" s="20">
        <f t="shared" si="10"/>
        <v>105398.36585578126</v>
      </c>
      <c r="O31" s="47"/>
    </row>
    <row r="32" spans="2:15" ht="15">
      <c r="B32" s="4" t="str">
        <f>B25</f>
        <v>Other:</v>
      </c>
      <c r="C32" s="46"/>
      <c r="D32" s="46"/>
      <c r="E32" s="17">
        <v>18393</v>
      </c>
      <c r="F32" s="17">
        <v>27097</v>
      </c>
      <c r="G32" s="17">
        <v>28733</v>
      </c>
      <c r="H32" s="17">
        <v>35537</v>
      </c>
      <c r="I32" s="23">
        <v>33392</v>
      </c>
      <c r="J32" s="20">
        <f t="shared" si="10"/>
        <v>35061.6</v>
      </c>
      <c r="K32" s="20">
        <f t="shared" si="10"/>
        <v>36814.68</v>
      </c>
      <c r="L32" s="20">
        <f t="shared" si="10"/>
        <v>38655.414000000004</v>
      </c>
      <c r="M32" s="20">
        <f t="shared" si="10"/>
        <v>39621.79935</v>
      </c>
      <c r="N32" s="20">
        <f t="shared" si="10"/>
        <v>40612.34433375</v>
      </c>
      <c r="O32" s="47"/>
    </row>
    <row r="33" spans="2:15" ht="15">
      <c r="B33" s="26" t="s">
        <v>20</v>
      </c>
      <c r="C33" s="64"/>
      <c r="D33" s="64"/>
      <c r="E33" s="18">
        <f aca="true" t="shared" si="11" ref="E33:N33">SUM(E28:E32)</f>
        <v>269037</v>
      </c>
      <c r="F33" s="18">
        <f t="shared" si="11"/>
        <v>299385</v>
      </c>
      <c r="G33" s="18">
        <f t="shared" si="11"/>
        <v>306298</v>
      </c>
      <c r="H33" s="18">
        <f t="shared" si="11"/>
        <v>482854</v>
      </c>
      <c r="I33" s="18">
        <f t="shared" si="11"/>
        <v>429283</v>
      </c>
      <c r="J33" s="18">
        <f t="shared" si="11"/>
        <v>468572.05</v>
      </c>
      <c r="K33" s="18">
        <f t="shared" si="11"/>
        <v>504104.26625</v>
      </c>
      <c r="L33" s="18">
        <f t="shared" si="11"/>
        <v>540107.9801875</v>
      </c>
      <c r="M33" s="18">
        <f t="shared" si="11"/>
        <v>567678.675371875</v>
      </c>
      <c r="N33" s="18">
        <f t="shared" si="11"/>
        <v>596718.6217960938</v>
      </c>
      <c r="O33" s="47"/>
    </row>
    <row r="34" spans="2:15" ht="15">
      <c r="B34" s="28" t="s">
        <v>21</v>
      </c>
      <c r="C34" s="64"/>
      <c r="D34" s="64"/>
      <c r="E34" s="27">
        <f aca="true" t="shared" si="12" ref="E34:N34">E33+E26</f>
        <v>419148</v>
      </c>
      <c r="F34" s="27">
        <f t="shared" si="12"/>
        <v>483127</v>
      </c>
      <c r="G34" s="27">
        <f t="shared" si="12"/>
        <v>519374</v>
      </c>
      <c r="H34" s="27">
        <f t="shared" si="12"/>
        <v>744898</v>
      </c>
      <c r="I34" s="27">
        <f t="shared" si="12"/>
        <v>633458</v>
      </c>
      <c r="J34" s="27">
        <f t="shared" si="12"/>
        <v>689359.1499999999</v>
      </c>
      <c r="K34" s="27">
        <f t="shared" si="12"/>
        <v>739966.2725</v>
      </c>
      <c r="L34" s="27">
        <f t="shared" si="12"/>
        <v>791836.2025937501</v>
      </c>
      <c r="M34" s="27">
        <f t="shared" si="12"/>
        <v>830881.7390359375</v>
      </c>
      <c r="N34" s="27">
        <f t="shared" si="12"/>
        <v>871764.4057283595</v>
      </c>
      <c r="O34" s="47"/>
    </row>
    <row r="35" spans="2:15" ht="15">
      <c r="B35" s="11"/>
      <c r="C35" s="46"/>
      <c r="D35" s="46"/>
      <c r="E35" s="65"/>
      <c r="F35" s="65"/>
      <c r="G35" s="65"/>
      <c r="H35" s="65"/>
      <c r="I35" s="65"/>
      <c r="J35" s="46"/>
      <c r="K35" s="46"/>
      <c r="L35" s="46"/>
      <c r="M35" s="46"/>
      <c r="N35" s="46"/>
      <c r="O35" s="47"/>
    </row>
    <row r="36" spans="2:15" ht="15">
      <c r="B36" s="2" t="s">
        <v>26</v>
      </c>
      <c r="C36" s="46"/>
      <c r="D36" s="46"/>
      <c r="E36" s="65"/>
      <c r="F36" s="65"/>
      <c r="G36" s="65"/>
      <c r="H36" s="65"/>
      <c r="I36" s="65"/>
      <c r="J36" s="68"/>
      <c r="K36" s="46"/>
      <c r="L36" s="46"/>
      <c r="M36" s="46"/>
      <c r="N36" s="46"/>
      <c r="O36" s="47"/>
    </row>
    <row r="37" spans="2:15" ht="15">
      <c r="B37" s="11"/>
      <c r="C37" s="46"/>
      <c r="D37" s="46"/>
      <c r="E37" s="65"/>
      <c r="F37" s="65"/>
      <c r="G37" s="65"/>
      <c r="H37" s="65"/>
      <c r="I37" s="65"/>
      <c r="J37" s="46"/>
      <c r="K37" s="46"/>
      <c r="L37" s="46"/>
      <c r="M37" s="46"/>
      <c r="N37" s="46"/>
      <c r="O37" s="47"/>
    </row>
    <row r="38" spans="2:15" ht="15">
      <c r="B38" s="2" t="str">
        <f>B6</f>
        <v>US Wholesale Loans:</v>
      </c>
      <c r="C38" s="46"/>
      <c r="D38" s="46"/>
      <c r="E38" s="65"/>
      <c r="F38" s="65"/>
      <c r="G38" s="65"/>
      <c r="H38" s="65"/>
      <c r="I38" s="65"/>
      <c r="J38" s="46"/>
      <c r="K38" s="46"/>
      <c r="L38" s="46"/>
      <c r="M38" s="46"/>
      <c r="N38" s="46"/>
      <c r="O38" s="47"/>
    </row>
    <row r="39" spans="2:15" ht="15">
      <c r="B39" s="4" t="str">
        <f aca="true" t="shared" si="13" ref="B39:B51">B7</f>
        <v>Commercial and Industrial:</v>
      </c>
      <c r="C39" s="46"/>
      <c r="D39" s="46"/>
      <c r="E39" s="65"/>
      <c r="F39" s="39">
        <f aca="true" t="shared" si="14" ref="F39:I43">F7/E7-1</f>
        <v>0.1129468998118317</v>
      </c>
      <c r="G39" s="39">
        <f t="shared" si="14"/>
        <v>0.4449690721649484</v>
      </c>
      <c r="H39" s="39">
        <f t="shared" si="14"/>
        <v>0.05810419371869702</v>
      </c>
      <c r="I39" s="38">
        <f t="shared" si="14"/>
        <v>-0.3107089396248297</v>
      </c>
      <c r="J39" s="40">
        <v>0.1</v>
      </c>
      <c r="K39" s="40">
        <v>0.075</v>
      </c>
      <c r="L39" s="40">
        <v>0.075</v>
      </c>
      <c r="M39" s="40">
        <v>0.05</v>
      </c>
      <c r="N39" s="40">
        <v>0.05</v>
      </c>
      <c r="O39" s="47"/>
    </row>
    <row r="40" spans="2:15" ht="15">
      <c r="B40" s="4" t="str">
        <f t="shared" si="13"/>
        <v>Real Estate:</v>
      </c>
      <c r="C40" s="46"/>
      <c r="D40" s="46"/>
      <c r="E40" s="65"/>
      <c r="F40" s="39">
        <f t="shared" si="14"/>
        <v>0.09342623447440168</v>
      </c>
      <c r="G40" s="39">
        <f t="shared" si="14"/>
        <v>-0.11470050423893163</v>
      </c>
      <c r="H40" s="39">
        <f t="shared" si="14"/>
        <v>2.8736934343118232</v>
      </c>
      <c r="I40" s="38">
        <f t="shared" si="14"/>
        <v>-0.11181127807400226</v>
      </c>
      <c r="J40" s="40">
        <v>0.1</v>
      </c>
      <c r="K40" s="40">
        <v>0.075</v>
      </c>
      <c r="L40" s="40">
        <v>0.075</v>
      </c>
      <c r="M40" s="40">
        <v>0.05</v>
      </c>
      <c r="N40" s="40">
        <v>0.05</v>
      </c>
      <c r="O40" s="47"/>
    </row>
    <row r="41" spans="2:15" ht="15">
      <c r="B41" s="4" t="str">
        <f t="shared" si="13"/>
        <v>Financial Institutions</v>
      </c>
      <c r="C41" s="46"/>
      <c r="D41" s="46"/>
      <c r="E41" s="65"/>
      <c r="F41" s="39">
        <f t="shared" si="14"/>
        <v>0.14260653461004313</v>
      </c>
      <c r="G41" s="39">
        <f t="shared" si="14"/>
        <v>-0.03320112589559876</v>
      </c>
      <c r="H41" s="39">
        <f t="shared" si="14"/>
        <v>0.3864222854496129</v>
      </c>
      <c r="I41" s="38">
        <f t="shared" si="14"/>
        <v>-0.3529804801221782</v>
      </c>
      <c r="J41" s="40">
        <v>0.05</v>
      </c>
      <c r="K41" s="40">
        <v>0.05</v>
      </c>
      <c r="L41" s="40">
        <v>0.05</v>
      </c>
      <c r="M41" s="40">
        <v>0.025</v>
      </c>
      <c r="N41" s="40">
        <v>0.025</v>
      </c>
      <c r="O41" s="47"/>
    </row>
    <row r="42" spans="2:15" ht="15">
      <c r="B42" s="4" t="str">
        <f t="shared" si="13"/>
        <v>Government Agencies:</v>
      </c>
      <c r="C42" s="46"/>
      <c r="D42" s="46"/>
      <c r="E42" s="65"/>
      <c r="F42" s="39">
        <f t="shared" si="14"/>
        <v>0.1183607441358856</v>
      </c>
      <c r="G42" s="39">
        <f t="shared" si="14"/>
        <v>0.3910318225650915</v>
      </c>
      <c r="H42" s="39">
        <f t="shared" si="14"/>
        <v>0.025823223570190734</v>
      </c>
      <c r="I42" s="38">
        <f t="shared" si="14"/>
        <v>-0.04815002534211865</v>
      </c>
      <c r="J42" s="40">
        <v>0.1</v>
      </c>
      <c r="K42" s="40">
        <v>0.1</v>
      </c>
      <c r="L42" s="40">
        <v>0.075</v>
      </c>
      <c r="M42" s="40">
        <v>0.075</v>
      </c>
      <c r="N42" s="40">
        <v>0.05</v>
      </c>
      <c r="O42" s="47"/>
    </row>
    <row r="43" spans="2:15" ht="15">
      <c r="B43" s="4" t="str">
        <f t="shared" si="13"/>
        <v>Other:</v>
      </c>
      <c r="C43" s="46"/>
      <c r="D43" s="46"/>
      <c r="E43" s="65"/>
      <c r="F43" s="39">
        <f t="shared" si="14"/>
        <v>-0.06455249768732652</v>
      </c>
      <c r="G43" s="39">
        <f t="shared" si="14"/>
        <v>-0.18687227664637351</v>
      </c>
      <c r="H43" s="39">
        <f t="shared" si="14"/>
        <v>-0.09315141380358771</v>
      </c>
      <c r="I43" s="38">
        <f t="shared" si="14"/>
        <v>-0.0020954695947361657</v>
      </c>
      <c r="J43" s="40">
        <v>0.05</v>
      </c>
      <c r="K43" s="40">
        <v>0.05</v>
      </c>
      <c r="L43" s="40">
        <v>0.05</v>
      </c>
      <c r="M43" s="40">
        <v>0.025</v>
      </c>
      <c r="N43" s="40">
        <v>0.025</v>
      </c>
      <c r="O43" s="47"/>
    </row>
    <row r="44" spans="2:15" ht="15">
      <c r="B44" s="26" t="str">
        <f t="shared" si="13"/>
        <v>Total US Wholesale Loans:</v>
      </c>
      <c r="C44" s="64"/>
      <c r="D44" s="64"/>
      <c r="E44" s="66"/>
      <c r="F44" s="41">
        <f aca="true" t="shared" si="15" ref="F44:N44">F12/E12-1</f>
        <v>0.05908178289385635</v>
      </c>
      <c r="G44" s="41">
        <f t="shared" si="15"/>
        <v>0.12273562172455055</v>
      </c>
      <c r="H44" s="41">
        <f t="shared" si="15"/>
        <v>0.40166450286297484</v>
      </c>
      <c r="I44" s="41">
        <f t="shared" si="15"/>
        <v>-0.2017978755300467</v>
      </c>
      <c r="J44" s="41">
        <f t="shared" si="15"/>
        <v>0.08746755206761248</v>
      </c>
      <c r="K44" s="41">
        <f t="shared" si="15"/>
        <v>0.06990532311159736</v>
      </c>
      <c r="L44" s="41">
        <f t="shared" si="15"/>
        <v>0.06906223704536374</v>
      </c>
      <c r="M44" s="41">
        <f t="shared" si="15"/>
        <v>0.045156101080516375</v>
      </c>
      <c r="N44" s="41">
        <f t="shared" si="15"/>
        <v>0.04428058156094439</v>
      </c>
      <c r="O44" s="47"/>
    </row>
    <row r="45" spans="2:15" ht="15">
      <c r="B45" s="2" t="str">
        <f t="shared" si="13"/>
        <v>Non-US Wholesale Loans:</v>
      </c>
      <c r="C45" s="46"/>
      <c r="D45" s="46"/>
      <c r="E45" s="65"/>
      <c r="F45" s="65"/>
      <c r="G45" s="65"/>
      <c r="H45" s="65"/>
      <c r="I45" s="65"/>
      <c r="J45" s="46"/>
      <c r="K45" s="46"/>
      <c r="L45" s="46"/>
      <c r="M45" s="46"/>
      <c r="N45" s="46"/>
      <c r="O45" s="47"/>
    </row>
    <row r="46" spans="2:15" ht="15">
      <c r="B46" s="4" t="str">
        <f t="shared" si="13"/>
        <v>Commercial and Industrial:</v>
      </c>
      <c r="C46" s="46"/>
      <c r="D46" s="46"/>
      <c r="E46" s="65"/>
      <c r="F46" s="39">
        <f aca="true" t="shared" si="16" ref="F46:I50">F14/E14-1</f>
        <v>0.20668643839309797</v>
      </c>
      <c r="G46" s="39">
        <f t="shared" si="16"/>
        <v>0.5117079274287246</v>
      </c>
      <c r="H46" s="39">
        <f t="shared" si="16"/>
        <v>0.04321735788820247</v>
      </c>
      <c r="I46" s="38">
        <f t="shared" si="16"/>
        <v>-0.42795613612535777</v>
      </c>
      <c r="J46" s="40">
        <v>0.075</v>
      </c>
      <c r="K46" s="40">
        <v>0.075</v>
      </c>
      <c r="L46" s="40">
        <v>0.075</v>
      </c>
      <c r="M46" s="40">
        <v>0.05</v>
      </c>
      <c r="N46" s="40">
        <v>0.05</v>
      </c>
      <c r="O46" s="47"/>
    </row>
    <row r="47" spans="2:15" ht="15">
      <c r="B47" s="4" t="str">
        <f t="shared" si="13"/>
        <v>Real Estate:</v>
      </c>
      <c r="C47" s="46"/>
      <c r="D47" s="46"/>
      <c r="E47" s="65"/>
      <c r="F47" s="39">
        <f t="shared" si="16"/>
        <v>0.669059583632448</v>
      </c>
      <c r="G47" s="39">
        <f t="shared" si="16"/>
        <v>0.5621505376344087</v>
      </c>
      <c r="H47" s="39">
        <f t="shared" si="16"/>
        <v>-0.22604625550660795</v>
      </c>
      <c r="I47" s="38">
        <f t="shared" si="16"/>
        <v>-0.19245819992885094</v>
      </c>
      <c r="J47" s="40">
        <v>0.075</v>
      </c>
      <c r="K47" s="40">
        <v>0.075</v>
      </c>
      <c r="L47" s="40">
        <v>0.075</v>
      </c>
      <c r="M47" s="40">
        <v>0.05</v>
      </c>
      <c r="N47" s="40">
        <v>0.05</v>
      </c>
      <c r="O47" s="47"/>
    </row>
    <row r="48" spans="2:15" ht="15">
      <c r="B48" s="4" t="str">
        <f t="shared" si="13"/>
        <v>Financial Institutions</v>
      </c>
      <c r="C48" s="46"/>
      <c r="D48" s="46"/>
      <c r="E48" s="65"/>
      <c r="F48" s="39">
        <f t="shared" si="16"/>
        <v>1.369207957494131</v>
      </c>
      <c r="G48" s="39">
        <f t="shared" si="16"/>
        <v>-0.10060498591843126</v>
      </c>
      <c r="H48" s="39">
        <f t="shared" si="16"/>
        <v>0.017802261525079688</v>
      </c>
      <c r="I48" s="38">
        <f t="shared" si="16"/>
        <v>-0.3249772105742935</v>
      </c>
      <c r="J48" s="40">
        <v>0.05</v>
      </c>
      <c r="K48" s="40">
        <v>0.05</v>
      </c>
      <c r="L48" s="40">
        <v>0.05</v>
      </c>
      <c r="M48" s="40">
        <v>0.025</v>
      </c>
      <c r="N48" s="40">
        <v>0.025</v>
      </c>
      <c r="O48" s="47"/>
    </row>
    <row r="49" spans="2:15" ht="15">
      <c r="B49" s="4" t="str">
        <f t="shared" si="13"/>
        <v>Government Agencies:</v>
      </c>
      <c r="C49" s="46"/>
      <c r="D49" s="46"/>
      <c r="E49" s="65"/>
      <c r="F49" s="39">
        <f t="shared" si="16"/>
        <v>0.9621913580246915</v>
      </c>
      <c r="G49" s="39">
        <f t="shared" si="16"/>
        <v>-0.7168698387731026</v>
      </c>
      <c r="H49" s="39">
        <f t="shared" si="16"/>
        <v>-0.16388888888888886</v>
      </c>
      <c r="I49" s="38">
        <f t="shared" si="16"/>
        <v>1.8355481727574752</v>
      </c>
      <c r="J49" s="40">
        <v>0.2</v>
      </c>
      <c r="K49" s="40">
        <v>0.15</v>
      </c>
      <c r="L49" s="40">
        <v>0.1</v>
      </c>
      <c r="M49" s="40">
        <v>0.1</v>
      </c>
      <c r="N49" s="40">
        <v>0.1</v>
      </c>
      <c r="O49" s="47"/>
    </row>
    <row r="50" spans="2:15" ht="15">
      <c r="B50" s="4" t="str">
        <f t="shared" si="13"/>
        <v>Other:</v>
      </c>
      <c r="C50" s="46"/>
      <c r="D50" s="46"/>
      <c r="E50" s="65"/>
      <c r="F50" s="39">
        <f t="shared" si="16"/>
        <v>1.1374010781052872</v>
      </c>
      <c r="G50" s="39">
        <f t="shared" si="16"/>
        <v>0.3091328611289976</v>
      </c>
      <c r="H50" s="39">
        <f t="shared" si="16"/>
        <v>-0.220723859490921</v>
      </c>
      <c r="I50" s="38">
        <f t="shared" si="16"/>
        <v>0.003418893330528139</v>
      </c>
      <c r="J50" s="40">
        <v>0.05</v>
      </c>
      <c r="K50" s="40">
        <v>0.05</v>
      </c>
      <c r="L50" s="40">
        <v>0.05</v>
      </c>
      <c r="M50" s="40">
        <v>0.05</v>
      </c>
      <c r="N50" s="40">
        <v>0.05</v>
      </c>
      <c r="O50" s="47"/>
    </row>
    <row r="51" spans="2:15" ht="15">
      <c r="B51" s="26" t="str">
        <f t="shared" si="13"/>
        <v>Total Non-US Wholesale Loans:</v>
      </c>
      <c r="C51" s="64"/>
      <c r="D51" s="64"/>
      <c r="E51" s="66"/>
      <c r="F51" s="41">
        <f aca="true" t="shared" si="17" ref="F51:N51">F19/E19-1</f>
        <v>0.7099300846343899</v>
      </c>
      <c r="G51" s="41">
        <f t="shared" si="17"/>
        <v>0.2269890555828824</v>
      </c>
      <c r="H51" s="41">
        <f t="shared" si="17"/>
        <v>-0.057063753554739916</v>
      </c>
      <c r="I51" s="41">
        <f t="shared" si="17"/>
        <v>-0.26808205346229474</v>
      </c>
      <c r="J51" s="41">
        <f t="shared" si="17"/>
        <v>0.06483935378471584</v>
      </c>
      <c r="K51" s="41">
        <f t="shared" si="17"/>
        <v>0.06378062033343568</v>
      </c>
      <c r="L51" s="41">
        <f t="shared" si="17"/>
        <v>0.062284706332271345</v>
      </c>
      <c r="M51" s="41">
        <f t="shared" si="17"/>
        <v>0.04678192311968443</v>
      </c>
      <c r="N51" s="41">
        <f t="shared" si="17"/>
        <v>0.04698891938122007</v>
      </c>
      <c r="O51" s="47"/>
    </row>
    <row r="52" spans="2:15" ht="15">
      <c r="B52" s="2" t="str">
        <f>B27</f>
        <v>Total Consumer Loans:</v>
      </c>
      <c r="C52" s="46"/>
      <c r="D52" s="46"/>
      <c r="E52" s="65"/>
      <c r="F52" s="65"/>
      <c r="G52" s="65"/>
      <c r="H52" s="65"/>
      <c r="I52" s="65"/>
      <c r="J52" s="46"/>
      <c r="K52" s="46"/>
      <c r="L52" s="46"/>
      <c r="M52" s="46"/>
      <c r="N52" s="46"/>
      <c r="O52" s="47"/>
    </row>
    <row r="53" spans="2:15" ht="15">
      <c r="B53" s="4" t="str">
        <f aca="true" t="shared" si="18" ref="B53:B59">B28</f>
        <v>Home Equity:</v>
      </c>
      <c r="C53" s="46"/>
      <c r="D53" s="46"/>
      <c r="E53" s="65"/>
      <c r="F53" s="39">
        <f aca="true" t="shared" si="19" ref="F53:I56">F28/E28-1</f>
        <v>0.16061516800693143</v>
      </c>
      <c r="G53" s="39">
        <f t="shared" si="19"/>
        <v>0.10617053540184296</v>
      </c>
      <c r="H53" s="39">
        <f t="shared" si="19"/>
        <v>0.5067698667116585</v>
      </c>
      <c r="I53" s="38">
        <f t="shared" si="19"/>
        <v>-0.10459094408286096</v>
      </c>
      <c r="J53" s="40">
        <v>0.1</v>
      </c>
      <c r="K53" s="40">
        <v>0.075</v>
      </c>
      <c r="L53" s="40">
        <v>0.075</v>
      </c>
      <c r="M53" s="40">
        <v>0.05</v>
      </c>
      <c r="N53" s="40">
        <v>0.05</v>
      </c>
      <c r="O53" s="47"/>
    </row>
    <row r="54" spans="2:15" ht="15">
      <c r="B54" s="4" t="str">
        <f t="shared" si="18"/>
        <v>Mortgage:</v>
      </c>
      <c r="C54" s="46"/>
      <c r="D54" s="46"/>
      <c r="E54" s="65"/>
      <c r="F54" s="39">
        <f t="shared" si="19"/>
        <v>0.01202530572092475</v>
      </c>
      <c r="G54" s="39">
        <f t="shared" si="19"/>
        <v>-0.0609539451632366</v>
      </c>
      <c r="H54" s="39">
        <f t="shared" si="19"/>
        <v>1.8034123967089646</v>
      </c>
      <c r="I54" s="38">
        <f t="shared" si="19"/>
        <v>-0.08880301506258037</v>
      </c>
      <c r="J54" s="40">
        <v>0.1</v>
      </c>
      <c r="K54" s="40">
        <v>0.075</v>
      </c>
      <c r="L54" s="40">
        <v>0.075</v>
      </c>
      <c r="M54" s="40">
        <v>0.05</v>
      </c>
      <c r="N54" s="40">
        <v>0.05</v>
      </c>
      <c r="O54" s="47"/>
    </row>
    <row r="55" spans="2:15" ht="15">
      <c r="B55" s="4" t="str">
        <f t="shared" si="18"/>
        <v>Auto Loans:</v>
      </c>
      <c r="C55" s="46"/>
      <c r="D55" s="46"/>
      <c r="E55" s="65"/>
      <c r="F55" s="39">
        <f t="shared" si="19"/>
        <v>-0.11006705583646192</v>
      </c>
      <c r="G55" s="39">
        <f t="shared" si="19"/>
        <v>0.03270013899387947</v>
      </c>
      <c r="H55" s="39">
        <f t="shared" si="19"/>
        <v>0.005974025974025965</v>
      </c>
      <c r="I55" s="38">
        <f t="shared" si="19"/>
        <v>0.08046381710208195</v>
      </c>
      <c r="J55" s="40">
        <v>0.1</v>
      </c>
      <c r="K55" s="40">
        <v>0.1</v>
      </c>
      <c r="L55" s="40">
        <v>0.1</v>
      </c>
      <c r="M55" s="40">
        <v>0.075</v>
      </c>
      <c r="N55" s="40">
        <v>0.075</v>
      </c>
      <c r="O55" s="47"/>
    </row>
    <row r="56" spans="2:15" ht="15">
      <c r="B56" s="4" t="str">
        <f t="shared" si="18"/>
        <v>Credit Card Receivables:</v>
      </c>
      <c r="C56" s="46"/>
      <c r="D56" s="46"/>
      <c r="E56" s="65"/>
      <c r="F56" s="39">
        <f t="shared" si="19"/>
        <v>0.19714795505868588</v>
      </c>
      <c r="G56" s="39">
        <f t="shared" si="19"/>
        <v>-0.01780370512686158</v>
      </c>
      <c r="H56" s="39">
        <f t="shared" si="19"/>
        <v>0.24177257207890746</v>
      </c>
      <c r="I56" s="38">
        <f t="shared" si="19"/>
        <v>-0.2478376262578046</v>
      </c>
      <c r="J56" s="40">
        <v>0.075</v>
      </c>
      <c r="K56" s="40">
        <v>0.075</v>
      </c>
      <c r="L56" s="40">
        <v>0.05</v>
      </c>
      <c r="M56" s="40">
        <v>0.05</v>
      </c>
      <c r="N56" s="40">
        <v>0.05</v>
      </c>
      <c r="O56" s="47"/>
    </row>
    <row r="57" spans="2:15" ht="15">
      <c r="B57" s="4" t="str">
        <f t="shared" si="18"/>
        <v>Other:</v>
      </c>
      <c r="C57" s="46"/>
      <c r="D57" s="46"/>
      <c r="E57" s="46"/>
      <c r="F57" s="39">
        <f aca="true" t="shared" si="20" ref="F57:I59">F32/E32-1</f>
        <v>0.47322350894361986</v>
      </c>
      <c r="G57" s="39">
        <f t="shared" si="20"/>
        <v>0.060375687345462614</v>
      </c>
      <c r="H57" s="39">
        <f t="shared" si="20"/>
        <v>0.23680089096161216</v>
      </c>
      <c r="I57" s="38">
        <f t="shared" si="20"/>
        <v>-0.06035962517939053</v>
      </c>
      <c r="J57" s="40">
        <v>0.05</v>
      </c>
      <c r="K57" s="40">
        <v>0.05</v>
      </c>
      <c r="L57" s="40">
        <v>0.05</v>
      </c>
      <c r="M57" s="40">
        <v>0.025</v>
      </c>
      <c r="N57" s="40">
        <v>0.025</v>
      </c>
      <c r="O57" s="47"/>
    </row>
    <row r="58" spans="2:15" ht="15">
      <c r="B58" s="26" t="str">
        <f t="shared" si="18"/>
        <v>Total Consumer Loans:</v>
      </c>
      <c r="C58" s="64"/>
      <c r="D58" s="64"/>
      <c r="E58" s="64"/>
      <c r="F58" s="41">
        <f t="shared" si="20"/>
        <v>0.11280232830428538</v>
      </c>
      <c r="G58" s="41">
        <f t="shared" si="20"/>
        <v>0.023090669205203973</v>
      </c>
      <c r="H58" s="41">
        <f t="shared" si="20"/>
        <v>0.576419042892869</v>
      </c>
      <c r="I58" s="41">
        <f t="shared" si="20"/>
        <v>-0.11094658012566949</v>
      </c>
      <c r="J58" s="41">
        <f aca="true" t="shared" si="21" ref="J58:N59">J33/I33-1</f>
        <v>0.09152249215552444</v>
      </c>
      <c r="K58" s="41">
        <f t="shared" si="21"/>
        <v>0.07583084874567314</v>
      </c>
      <c r="L58" s="41">
        <f t="shared" si="21"/>
        <v>0.0714211649215537</v>
      </c>
      <c r="M58" s="41">
        <f t="shared" si="21"/>
        <v>0.05104663547982358</v>
      </c>
      <c r="N58" s="41">
        <f t="shared" si="21"/>
        <v>0.05115560559888066</v>
      </c>
      <c r="O58" s="47"/>
    </row>
    <row r="59" spans="2:15" ht="15">
      <c r="B59" s="28" t="str">
        <f t="shared" si="18"/>
        <v>Total Loans:</v>
      </c>
      <c r="C59" s="64"/>
      <c r="D59" s="64"/>
      <c r="E59" s="64"/>
      <c r="F59" s="41">
        <f t="shared" si="20"/>
        <v>0.15264059473026226</v>
      </c>
      <c r="G59" s="41">
        <f t="shared" si="20"/>
        <v>0.0750258213678805</v>
      </c>
      <c r="H59" s="41">
        <f t="shared" si="20"/>
        <v>0.4342227373722982</v>
      </c>
      <c r="I59" s="41">
        <f t="shared" si="20"/>
        <v>-0.14960437536414384</v>
      </c>
      <c r="J59" s="41">
        <f t="shared" si="21"/>
        <v>0.08824760284028277</v>
      </c>
      <c r="K59" s="41">
        <f t="shared" si="21"/>
        <v>0.073411838371914</v>
      </c>
      <c r="L59" s="41">
        <f t="shared" si="21"/>
        <v>0.07009769501859298</v>
      </c>
      <c r="M59" s="41">
        <f t="shared" si="21"/>
        <v>0.04931011781766137</v>
      </c>
      <c r="N59" s="41">
        <f t="shared" si="21"/>
        <v>0.049203953789931365</v>
      </c>
      <c r="O59" s="49"/>
    </row>
  </sheetData>
  <sheetProtection/>
  <printOptions/>
  <pageMargins left="0.7" right="0.7" top="0.75" bottom="0.75" header="0.3" footer="0.3"/>
  <pageSetup fitToHeight="1" fitToWidth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7109375" style="0" customWidth="1"/>
    <col min="2" max="5" width="10.00390625" style="0" customWidth="1"/>
    <col min="6" max="9" width="10.00390625" style="0" bestFit="1" customWidth="1"/>
    <col min="10" max="14" width="10.00390625" style="0" customWidth="1"/>
    <col min="15" max="15" width="2.7109375" style="0" customWidth="1"/>
  </cols>
  <sheetData>
    <row r="2" spans="2:15" ht="15">
      <c r="B2" s="42" t="str">
        <f>Company_Name&amp;" - Charge-Offs &amp; Loan Loss Reserves"</f>
        <v>JPMorgan Chase &amp; Co. - Charge-Offs &amp; Loan Loss Reserves</v>
      </c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2:15" ht="15">
      <c r="B3" s="11" t="str">
        <f>Loans!$B$3</f>
        <v>($ in Millions)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ht="15">
      <c r="B4" s="11"/>
      <c r="C4" s="46"/>
      <c r="D4" s="46"/>
      <c r="E4" s="13" t="s">
        <v>74</v>
      </c>
      <c r="F4" s="13"/>
      <c r="G4" s="13"/>
      <c r="H4" s="13"/>
      <c r="I4" s="13"/>
      <c r="J4" s="12" t="s">
        <v>75</v>
      </c>
      <c r="K4" s="12"/>
      <c r="L4" s="12"/>
      <c r="M4" s="12"/>
      <c r="N4" s="12"/>
      <c r="O4" s="47"/>
    </row>
    <row r="5" spans="2:15" ht="15">
      <c r="B5" s="14" t="str">
        <f>Loans!$B$5</f>
        <v>December 31, </v>
      </c>
      <c r="C5" s="48"/>
      <c r="D5" s="48"/>
      <c r="E5" s="69">
        <f>Loans!$E$5</f>
        <v>2005</v>
      </c>
      <c r="F5" s="69">
        <f>Loans!$F$5</f>
        <v>2006</v>
      </c>
      <c r="G5" s="69">
        <f>Loans!$G$5</f>
        <v>2007</v>
      </c>
      <c r="H5" s="69">
        <f>Loans!$H$5</f>
        <v>2008</v>
      </c>
      <c r="I5" s="70">
        <f>Loans!$I$5</f>
        <v>2009</v>
      </c>
      <c r="J5" s="15">
        <f>Loans!$J$5</f>
        <v>2010</v>
      </c>
      <c r="K5" s="15">
        <f>Loans!$K$5</f>
        <v>2011</v>
      </c>
      <c r="L5" s="15">
        <f>Loans!$L$5</f>
        <v>2012</v>
      </c>
      <c r="M5" s="15">
        <f>Loans!$M$5</f>
        <v>2013</v>
      </c>
      <c r="N5" s="15">
        <f>Loans!$N$5</f>
        <v>2014</v>
      </c>
      <c r="O5" s="47"/>
    </row>
    <row r="6" spans="2:15" ht="15">
      <c r="B6" s="71" t="s">
        <v>43</v>
      </c>
      <c r="C6" s="46"/>
      <c r="D6" s="46"/>
      <c r="E6" s="16">
        <v>7320</v>
      </c>
      <c r="F6" s="19">
        <f aca="true" t="shared" si="0" ref="F6:N6">E47</f>
        <v>7090</v>
      </c>
      <c r="G6" s="19">
        <f t="shared" si="0"/>
        <v>7279</v>
      </c>
      <c r="H6" s="19">
        <f t="shared" si="0"/>
        <v>9234</v>
      </c>
      <c r="I6" s="72">
        <f t="shared" si="0"/>
        <v>23164</v>
      </c>
      <c r="J6" s="19">
        <f t="shared" si="0"/>
        <v>31602</v>
      </c>
      <c r="K6" s="19">
        <f t="shared" si="0"/>
        <v>32854.40551187624</v>
      </c>
      <c r="L6" s="19">
        <f t="shared" si="0"/>
        <v>27755.582742691553</v>
      </c>
      <c r="M6" s="19">
        <f t="shared" si="0"/>
        <v>21531.32021585352</v>
      </c>
      <c r="N6" s="19">
        <f t="shared" si="0"/>
        <v>16820.313643633228</v>
      </c>
      <c r="O6" s="47"/>
    </row>
    <row r="7" spans="2:15" ht="15">
      <c r="B7" s="71" t="s">
        <v>44</v>
      </c>
      <c r="C7" s="46"/>
      <c r="D7" s="46"/>
      <c r="E7" s="17">
        <v>0</v>
      </c>
      <c r="F7" s="17">
        <v>0</v>
      </c>
      <c r="G7" s="17">
        <v>0</v>
      </c>
      <c r="H7" s="17">
        <v>2535</v>
      </c>
      <c r="I7" s="23">
        <v>0</v>
      </c>
      <c r="J7" s="20">
        <f>I7</f>
        <v>0</v>
      </c>
      <c r="K7" s="20">
        <f>J7</f>
        <v>0</v>
      </c>
      <c r="L7" s="20">
        <f>K7</f>
        <v>0</v>
      </c>
      <c r="M7" s="20">
        <f>L7</f>
        <v>0</v>
      </c>
      <c r="N7" s="20">
        <f>M7</f>
        <v>0</v>
      </c>
      <c r="O7" s="47"/>
    </row>
    <row r="8" spans="2:15" ht="15">
      <c r="B8" s="71" t="s">
        <v>45</v>
      </c>
      <c r="C8" s="46"/>
      <c r="D8" s="46"/>
      <c r="E8" s="17">
        <v>3575</v>
      </c>
      <c r="F8" s="17">
        <v>3153</v>
      </c>
      <c r="G8" s="17">
        <v>6538</v>
      </c>
      <c r="H8" s="17">
        <v>21237</v>
      </c>
      <c r="I8" s="23">
        <v>31735</v>
      </c>
      <c r="J8" s="20">
        <f>J52*J95</f>
        <v>17314.504426876247</v>
      </c>
      <c r="K8" s="20">
        <f>K52*K95</f>
        <v>10363.045175440311</v>
      </c>
      <c r="L8" s="20">
        <f>L52*L95</f>
        <v>7276.270044018219</v>
      </c>
      <c r="M8" s="20">
        <f>M52*M95</f>
        <v>6087.481817515955</v>
      </c>
      <c r="N8" s="20">
        <f>N52*N95</f>
        <v>5541.024339352951</v>
      </c>
      <c r="O8" s="47"/>
    </row>
    <row r="9" spans="2:15" ht="15">
      <c r="B9" s="2" t="s">
        <v>46</v>
      </c>
      <c r="C9" s="46"/>
      <c r="D9" s="46"/>
      <c r="E9" s="46"/>
      <c r="F9" s="46"/>
      <c r="G9" s="46"/>
      <c r="H9" s="46"/>
      <c r="I9" s="25"/>
      <c r="J9" s="46"/>
      <c r="K9" s="46"/>
      <c r="L9" s="46"/>
      <c r="M9" s="46"/>
      <c r="N9" s="46"/>
      <c r="O9" s="47"/>
    </row>
    <row r="10" spans="2:15" ht="15">
      <c r="B10" s="4" t="s">
        <v>16</v>
      </c>
      <c r="C10" s="46"/>
      <c r="D10" s="46"/>
      <c r="E10" s="16">
        <v>154</v>
      </c>
      <c r="F10" s="16">
        <v>80</v>
      </c>
      <c r="G10" s="16">
        <v>34</v>
      </c>
      <c r="H10" s="16">
        <v>183</v>
      </c>
      <c r="I10" s="22">
        <v>1233</v>
      </c>
      <c r="J10" s="19">
        <f>Loans!J7*J59</f>
        <v>562.243</v>
      </c>
      <c r="K10" s="19">
        <f>Loans!K7*K59</f>
        <v>604.411225</v>
      </c>
      <c r="L10" s="19">
        <f>Loans!L7*L59</f>
        <v>649.742066875</v>
      </c>
      <c r="M10" s="19">
        <f>Loans!M7*M59</f>
        <v>511.67187766406244</v>
      </c>
      <c r="N10" s="19">
        <f>Loans!N7*N59</f>
        <v>358.1703143648437</v>
      </c>
      <c r="O10" s="47"/>
    </row>
    <row r="11" spans="2:15" ht="15">
      <c r="B11" s="4" t="s">
        <v>15</v>
      </c>
      <c r="C11" s="46"/>
      <c r="D11" s="46"/>
      <c r="E11" s="17">
        <v>2</v>
      </c>
      <c r="F11" s="17">
        <v>10</v>
      </c>
      <c r="G11" s="17">
        <v>46</v>
      </c>
      <c r="H11" s="17">
        <v>217</v>
      </c>
      <c r="I11" s="23">
        <v>700</v>
      </c>
      <c r="J11" s="20">
        <f>Loans!J8*J60</f>
        <v>453.50250000000005</v>
      </c>
      <c r="K11" s="20">
        <f>Loans!K8*K60</f>
        <v>325.0101250000001</v>
      </c>
      <c r="L11" s="20">
        <f>Loans!L8*L60</f>
        <v>349.38588437500005</v>
      </c>
      <c r="M11" s="20">
        <f>Loans!M8*M60</f>
        <v>220.11310715625</v>
      </c>
      <c r="N11" s="20">
        <f>Loans!N8*N60</f>
        <v>77.03958750468752</v>
      </c>
      <c r="O11" s="47"/>
    </row>
    <row r="12" spans="2:15" ht="15">
      <c r="B12" s="4" t="s">
        <v>12</v>
      </c>
      <c r="C12" s="46"/>
      <c r="D12" s="46"/>
      <c r="E12" s="17">
        <v>2</v>
      </c>
      <c r="F12" s="17">
        <v>1</v>
      </c>
      <c r="G12" s="17">
        <v>9</v>
      </c>
      <c r="H12" s="17">
        <v>17</v>
      </c>
      <c r="I12" s="23">
        <v>671</v>
      </c>
      <c r="J12" s="20">
        <f>Loans!J9*J61</f>
        <v>427.0455</v>
      </c>
      <c r="K12" s="20">
        <f>Loans!K9*K61</f>
        <v>224.1988875</v>
      </c>
      <c r="L12" s="20">
        <f>Loans!L9*L61</f>
        <v>78.469610625</v>
      </c>
      <c r="M12" s="20">
        <f>Loans!M9*M61</f>
        <v>16.086270178125</v>
      </c>
      <c r="N12" s="20">
        <f>Loans!N9*N61</f>
        <v>16.488426932578125</v>
      </c>
      <c r="O12" s="47"/>
    </row>
    <row r="13" spans="2:15" ht="15">
      <c r="B13" s="4" t="s">
        <v>13</v>
      </c>
      <c r="C13" s="46"/>
      <c r="D13" s="46"/>
      <c r="E13" s="17">
        <v>0</v>
      </c>
      <c r="F13" s="17">
        <v>2</v>
      </c>
      <c r="G13" s="17">
        <v>10</v>
      </c>
      <c r="H13" s="17">
        <v>0</v>
      </c>
      <c r="I13" s="23">
        <v>0</v>
      </c>
      <c r="J13" s="20">
        <f>Loans!J10*J62</f>
        <v>0</v>
      </c>
      <c r="K13" s="20">
        <f>Loans!K10*K62</f>
        <v>0</v>
      </c>
      <c r="L13" s="20">
        <f>Loans!L10*L62</f>
        <v>0</v>
      </c>
      <c r="M13" s="20">
        <f>Loans!M10*M62</f>
        <v>0</v>
      </c>
      <c r="N13" s="20">
        <f>Loans!N10*N62</f>
        <v>0</v>
      </c>
      <c r="O13" s="47"/>
    </row>
    <row r="14" spans="2:15" ht="15">
      <c r="B14" s="4" t="s">
        <v>14</v>
      </c>
      <c r="C14" s="46"/>
      <c r="D14" s="46"/>
      <c r="E14" s="17">
        <v>64</v>
      </c>
      <c r="F14" s="17">
        <v>36</v>
      </c>
      <c r="G14" s="17">
        <v>81</v>
      </c>
      <c r="H14" s="17">
        <v>35</v>
      </c>
      <c r="I14" s="23">
        <v>151</v>
      </c>
      <c r="J14" s="20">
        <f>Loans!J11*J63</f>
        <v>125.00775</v>
      </c>
      <c r="K14" s="20">
        <f>Loans!K11*K63</f>
        <v>105.00650999999999</v>
      </c>
      <c r="L14" s="20">
        <f>Loans!L11*L63</f>
        <v>82.692626625</v>
      </c>
      <c r="M14" s="20">
        <f>Loans!M11*M63</f>
        <v>84.75994229062499</v>
      </c>
      <c r="N14" s="20">
        <f>Loans!N11*N63</f>
        <v>57.91929389859374</v>
      </c>
      <c r="O14" s="47"/>
    </row>
    <row r="15" spans="2:15" ht="15">
      <c r="B15" s="4" t="s">
        <v>47</v>
      </c>
      <c r="C15" s="46"/>
      <c r="D15" s="46"/>
      <c r="E15" s="17">
        <v>4604</v>
      </c>
      <c r="F15" s="17">
        <v>3635</v>
      </c>
      <c r="G15" s="17">
        <v>5181</v>
      </c>
      <c r="H15" s="17">
        <v>10140</v>
      </c>
      <c r="I15" s="23">
        <v>20638</v>
      </c>
      <c r="J15" s="20">
        <f>J55</f>
        <v>15228.591625000001</v>
      </c>
      <c r="K15" s="20">
        <f>K55</f>
        <v>15123.127987499998</v>
      </c>
      <c r="L15" s="20">
        <f>L55</f>
        <v>13502.699504687502</v>
      </c>
      <c r="M15" s="20">
        <f>M55</f>
        <v>11353.5735074375</v>
      </c>
      <c r="N15" s="20">
        <f>N55</f>
        <v>8950.779326941407</v>
      </c>
      <c r="O15" s="47"/>
    </row>
    <row r="16" spans="2:15" ht="15">
      <c r="B16" s="26" t="s">
        <v>48</v>
      </c>
      <c r="C16" s="64"/>
      <c r="D16" s="64"/>
      <c r="E16" s="18">
        <f aca="true" t="shared" si="1" ref="E16:N16">SUM(E10:E15)</f>
        <v>4826</v>
      </c>
      <c r="F16" s="18">
        <f t="shared" si="1"/>
        <v>3764</v>
      </c>
      <c r="G16" s="18">
        <f t="shared" si="1"/>
        <v>5361</v>
      </c>
      <c r="H16" s="18">
        <f t="shared" si="1"/>
        <v>10592</v>
      </c>
      <c r="I16" s="18">
        <f t="shared" si="1"/>
        <v>23393</v>
      </c>
      <c r="J16" s="18">
        <f t="shared" si="1"/>
        <v>16796.390375000003</v>
      </c>
      <c r="K16" s="18">
        <f t="shared" si="1"/>
        <v>16381.754734999999</v>
      </c>
      <c r="L16" s="18">
        <f t="shared" si="1"/>
        <v>14662.989693187501</v>
      </c>
      <c r="M16" s="18">
        <f t="shared" si="1"/>
        <v>12186.204704726562</v>
      </c>
      <c r="N16" s="18">
        <f t="shared" si="1"/>
        <v>9460.39694964211</v>
      </c>
      <c r="O16" s="47"/>
    </row>
    <row r="17" spans="2:15" ht="15">
      <c r="B17" s="2" t="s">
        <v>49</v>
      </c>
      <c r="C17" s="46"/>
      <c r="D17" s="46"/>
      <c r="E17" s="29"/>
      <c r="F17" s="29"/>
      <c r="G17" s="29"/>
      <c r="H17" s="29"/>
      <c r="I17" s="73"/>
      <c r="J17" s="46"/>
      <c r="K17" s="46"/>
      <c r="L17" s="46"/>
      <c r="M17" s="46"/>
      <c r="N17" s="46"/>
      <c r="O17" s="47"/>
    </row>
    <row r="18" spans="2:15" ht="15">
      <c r="B18" s="4" t="str">
        <f aca="true" t="shared" si="2" ref="B18:B23">B10</f>
        <v>Commercial and Industrial:</v>
      </c>
      <c r="C18" s="46"/>
      <c r="D18" s="46"/>
      <c r="E18" s="17">
        <v>32</v>
      </c>
      <c r="F18" s="17">
        <v>43</v>
      </c>
      <c r="G18" s="17">
        <v>2</v>
      </c>
      <c r="H18" s="17">
        <v>40</v>
      </c>
      <c r="I18" s="23">
        <v>64</v>
      </c>
      <c r="J18" s="19">
        <f>Loans!J14*J67</f>
        <v>32.553149999999995</v>
      </c>
      <c r="K18" s="19">
        <f>Loans!K14*K67</f>
        <v>34.99463624999999</v>
      </c>
      <c r="L18" s="19">
        <f>Loans!L14*L67</f>
        <v>25.079489312499994</v>
      </c>
      <c r="M18" s="19">
        <f>Loans!M14*M67</f>
        <v>26.333463778124994</v>
      </c>
      <c r="N18" s="19">
        <f>Loans!N14*N67</f>
        <v>13.825068483515622</v>
      </c>
      <c r="O18" s="47"/>
    </row>
    <row r="19" spans="2:15" ht="15">
      <c r="B19" s="4" t="str">
        <f t="shared" si="2"/>
        <v>Real Estate:</v>
      </c>
      <c r="C19" s="46"/>
      <c r="D19" s="46"/>
      <c r="E19" s="17">
        <v>0</v>
      </c>
      <c r="F19" s="17">
        <v>0</v>
      </c>
      <c r="G19" s="17">
        <v>0</v>
      </c>
      <c r="H19" s="17">
        <v>0</v>
      </c>
      <c r="I19" s="23">
        <v>0</v>
      </c>
      <c r="J19" s="20">
        <f>Loans!J15*J68</f>
        <v>0</v>
      </c>
      <c r="K19" s="20">
        <f>Loans!K15*K68</f>
        <v>0</v>
      </c>
      <c r="L19" s="20">
        <f>Loans!L15*L68</f>
        <v>0</v>
      </c>
      <c r="M19" s="20">
        <f>Loans!M15*M68</f>
        <v>0</v>
      </c>
      <c r="N19" s="20">
        <f>Loans!N15*N68</f>
        <v>0</v>
      </c>
      <c r="O19" s="47"/>
    </row>
    <row r="20" spans="2:15" ht="15">
      <c r="B20" s="4" t="str">
        <f t="shared" si="2"/>
        <v>Financial Institutions</v>
      </c>
      <c r="C20" s="46"/>
      <c r="D20" s="46"/>
      <c r="E20" s="17">
        <v>0</v>
      </c>
      <c r="F20" s="17">
        <v>0</v>
      </c>
      <c r="G20" s="17">
        <v>0</v>
      </c>
      <c r="H20" s="17">
        <v>29</v>
      </c>
      <c r="I20" s="23">
        <v>66</v>
      </c>
      <c r="J20" s="20">
        <f>Loans!J16*J69</f>
        <v>62.202</v>
      </c>
      <c r="K20" s="20">
        <f>Loans!K16*K69</f>
        <v>52.24968</v>
      </c>
      <c r="L20" s="20">
        <f>Loans!L16*L69</f>
        <v>41.146623000000005</v>
      </c>
      <c r="M20" s="20">
        <f>Loans!M16*M69</f>
        <v>28.11685905</v>
      </c>
      <c r="N20" s="20">
        <f>Loans!N16*N69</f>
        <v>14.409890263124998</v>
      </c>
      <c r="O20" s="47"/>
    </row>
    <row r="21" spans="2:15" ht="15">
      <c r="B21" s="4" t="str">
        <f t="shared" si="2"/>
        <v>Government Agencies:</v>
      </c>
      <c r="C21" s="46"/>
      <c r="D21" s="46"/>
      <c r="E21" s="17">
        <v>0</v>
      </c>
      <c r="F21" s="17">
        <v>0</v>
      </c>
      <c r="G21" s="17">
        <v>0</v>
      </c>
      <c r="H21" s="17">
        <v>0</v>
      </c>
      <c r="I21" s="23">
        <v>0</v>
      </c>
      <c r="J21" s="20">
        <f>Loans!J17*J70</f>
        <v>0</v>
      </c>
      <c r="K21" s="20">
        <f>Loans!K17*K70</f>
        <v>0</v>
      </c>
      <c r="L21" s="20">
        <f>Loans!L17*L70</f>
        <v>0</v>
      </c>
      <c r="M21" s="20">
        <f>Loans!M17*M70</f>
        <v>0</v>
      </c>
      <c r="N21" s="20">
        <f>Loans!N17*N70</f>
        <v>0</v>
      </c>
      <c r="O21" s="47"/>
    </row>
    <row r="22" spans="2:15" ht="15">
      <c r="B22" s="4" t="str">
        <f t="shared" si="2"/>
        <v>Other:</v>
      </c>
      <c r="C22" s="46"/>
      <c r="D22" s="46"/>
      <c r="E22" s="17">
        <v>1</v>
      </c>
      <c r="F22" s="17">
        <v>14</v>
      </c>
      <c r="G22" s="17">
        <v>3</v>
      </c>
      <c r="H22" s="17">
        <v>0</v>
      </c>
      <c r="I22" s="23">
        <v>341</v>
      </c>
      <c r="J22" s="20">
        <f>Loans!J18*J71</f>
        <v>300.46275</v>
      </c>
      <c r="K22" s="20">
        <f>Loans!K18*K71</f>
        <v>262.90490625</v>
      </c>
      <c r="L22" s="20">
        <f>Loans!L18*L71</f>
        <v>220.84012125</v>
      </c>
      <c r="M22" s="20">
        <f>Loans!M18*M71</f>
        <v>173.911595484375</v>
      </c>
      <c r="N22" s="20">
        <f>Loans!N18*N71</f>
        <v>121.73811683906251</v>
      </c>
      <c r="O22" s="47"/>
    </row>
    <row r="23" spans="2:15" ht="15">
      <c r="B23" s="4" t="str">
        <f t="shared" si="2"/>
        <v>Consumer:</v>
      </c>
      <c r="C23" s="46"/>
      <c r="D23" s="46"/>
      <c r="E23" s="17">
        <v>10</v>
      </c>
      <c r="F23" s="17">
        <v>63</v>
      </c>
      <c r="G23" s="17">
        <v>1</v>
      </c>
      <c r="H23" s="17">
        <v>103</v>
      </c>
      <c r="I23" s="23">
        <v>154</v>
      </c>
      <c r="J23" s="17">
        <v>0</v>
      </c>
      <c r="K23" s="20">
        <f>J23</f>
        <v>0</v>
      </c>
      <c r="L23" s="20">
        <f>K23</f>
        <v>0</v>
      </c>
      <c r="M23" s="20">
        <f>L23</f>
        <v>0</v>
      </c>
      <c r="N23" s="20">
        <f>M23</f>
        <v>0</v>
      </c>
      <c r="O23" s="47"/>
    </row>
    <row r="24" spans="2:15" ht="15">
      <c r="B24" s="26" t="s">
        <v>50</v>
      </c>
      <c r="C24" s="64"/>
      <c r="D24" s="64"/>
      <c r="E24" s="18">
        <f aca="true" t="shared" si="3" ref="E24:N24">SUM(E18:E23)</f>
        <v>43</v>
      </c>
      <c r="F24" s="18">
        <f t="shared" si="3"/>
        <v>120</v>
      </c>
      <c r="G24" s="18">
        <f t="shared" si="3"/>
        <v>6</v>
      </c>
      <c r="H24" s="18">
        <f t="shared" si="3"/>
        <v>172</v>
      </c>
      <c r="I24" s="18">
        <f t="shared" si="3"/>
        <v>625</v>
      </c>
      <c r="J24" s="18">
        <f t="shared" si="3"/>
        <v>395.2179</v>
      </c>
      <c r="K24" s="18">
        <f t="shared" si="3"/>
        <v>350.1492225</v>
      </c>
      <c r="L24" s="18">
        <f t="shared" si="3"/>
        <v>287.0662335625</v>
      </c>
      <c r="M24" s="18">
        <f t="shared" si="3"/>
        <v>228.3619183125</v>
      </c>
      <c r="N24" s="18">
        <f t="shared" si="3"/>
        <v>149.97307558570313</v>
      </c>
      <c r="O24" s="47"/>
    </row>
    <row r="25" spans="2:15" ht="15">
      <c r="B25" s="28" t="s">
        <v>51</v>
      </c>
      <c r="C25" s="64"/>
      <c r="D25" s="64"/>
      <c r="E25" s="18">
        <f aca="true" t="shared" si="4" ref="E25:N25">E24+E16</f>
        <v>4869</v>
      </c>
      <c r="F25" s="18">
        <f t="shared" si="4"/>
        <v>3884</v>
      </c>
      <c r="G25" s="18">
        <f t="shared" si="4"/>
        <v>5367</v>
      </c>
      <c r="H25" s="18">
        <f t="shared" si="4"/>
        <v>10764</v>
      </c>
      <c r="I25" s="18">
        <f t="shared" si="4"/>
        <v>24018</v>
      </c>
      <c r="J25" s="18">
        <f t="shared" si="4"/>
        <v>17191.608275000002</v>
      </c>
      <c r="K25" s="18">
        <f t="shared" si="4"/>
        <v>16731.9039575</v>
      </c>
      <c r="L25" s="18">
        <f t="shared" si="4"/>
        <v>14950.055926750001</v>
      </c>
      <c r="M25" s="18">
        <f t="shared" si="4"/>
        <v>12414.566623039062</v>
      </c>
      <c r="N25" s="18">
        <f t="shared" si="4"/>
        <v>9610.370025227814</v>
      </c>
      <c r="O25" s="47"/>
    </row>
    <row r="26" spans="2:15" ht="15">
      <c r="B26" s="2" t="s">
        <v>52</v>
      </c>
      <c r="C26" s="46"/>
      <c r="D26" s="46"/>
      <c r="E26" s="65"/>
      <c r="F26" s="65"/>
      <c r="G26" s="65"/>
      <c r="H26" s="65"/>
      <c r="I26" s="74"/>
      <c r="J26" s="46"/>
      <c r="K26" s="46"/>
      <c r="L26" s="46"/>
      <c r="M26" s="46"/>
      <c r="N26" s="46"/>
      <c r="O26" s="47"/>
    </row>
    <row r="27" spans="2:15" ht="15">
      <c r="B27" s="4" t="str">
        <f aca="true" t="shared" si="5" ref="B27:B32">B18</f>
        <v>Commercial and Industrial:</v>
      </c>
      <c r="C27" s="46"/>
      <c r="D27" s="46"/>
      <c r="E27" s="17">
        <v>-110</v>
      </c>
      <c r="F27" s="17">
        <v>-89</v>
      </c>
      <c r="G27" s="17">
        <v>-48</v>
      </c>
      <c r="H27" s="17">
        <v>-60</v>
      </c>
      <c r="I27" s="23">
        <v>-53</v>
      </c>
      <c r="J27" s="19">
        <f>Loans!J7*J75</f>
        <v>-56.22430000000001</v>
      </c>
      <c r="K27" s="19">
        <f>Loans!K7*K75</f>
        <v>-60.4411225</v>
      </c>
      <c r="L27" s="19">
        <f>Loans!L7*L75</f>
        <v>-97.46131003125</v>
      </c>
      <c r="M27" s="19">
        <f>Loans!M7*M75</f>
        <v>-136.44583404374998</v>
      </c>
      <c r="N27" s="19">
        <f>Loans!N7*N75</f>
        <v>-143.26812574593748</v>
      </c>
      <c r="O27" s="47"/>
    </row>
    <row r="28" spans="2:15" ht="15">
      <c r="B28" s="4" t="str">
        <f t="shared" si="5"/>
        <v>Real Estate:</v>
      </c>
      <c r="C28" s="46"/>
      <c r="D28" s="46"/>
      <c r="E28" s="17">
        <v>-4</v>
      </c>
      <c r="F28" s="17">
        <v>-4</v>
      </c>
      <c r="G28" s="17">
        <v>-1</v>
      </c>
      <c r="H28" s="17">
        <v>-5</v>
      </c>
      <c r="I28" s="23">
        <v>-12</v>
      </c>
      <c r="J28" s="20">
        <f>Loans!J8*J76</f>
        <v>-13.200000000000001</v>
      </c>
      <c r="K28" s="20">
        <f>Loans!K8*K76</f>
        <v>-14.190000000000001</v>
      </c>
      <c r="L28" s="20">
        <f>Loans!L8*L76</f>
        <v>-15.25425</v>
      </c>
      <c r="M28" s="20">
        <f>Loans!M8*M76</f>
        <v>-16.0169625</v>
      </c>
      <c r="N28" s="20">
        <f>Loans!N8*N76</f>
        <v>-16.817810625000003</v>
      </c>
      <c r="O28" s="47"/>
    </row>
    <row r="29" spans="2:15" ht="15">
      <c r="B29" s="4" t="str">
        <f t="shared" si="5"/>
        <v>Financial Institutions</v>
      </c>
      <c r="C29" s="46"/>
      <c r="D29" s="46"/>
      <c r="E29" s="17">
        <v>-6</v>
      </c>
      <c r="F29" s="17">
        <v>-4</v>
      </c>
      <c r="G29" s="17">
        <v>-3</v>
      </c>
      <c r="H29" s="17">
        <v>-2</v>
      </c>
      <c r="I29" s="23">
        <v>-3</v>
      </c>
      <c r="J29" s="20">
        <f>Loans!J9*J77</f>
        <v>-3.1500000000000004</v>
      </c>
      <c r="K29" s="20">
        <f>Loans!K9*K77</f>
        <v>-3.3075000000000006</v>
      </c>
      <c r="L29" s="20">
        <f>Loans!L9*L77</f>
        <v>-3.4728750000000006</v>
      </c>
      <c r="M29" s="20">
        <f>Loans!M9*M77</f>
        <v>-3.559696875</v>
      </c>
      <c r="N29" s="20">
        <f>Loans!N9*N77</f>
        <v>-3.648689296875</v>
      </c>
      <c r="O29" s="47"/>
    </row>
    <row r="30" spans="2:15" ht="15">
      <c r="B30" s="4" t="str">
        <f t="shared" si="5"/>
        <v>Government Agencies:</v>
      </c>
      <c r="C30" s="46"/>
      <c r="D30" s="46"/>
      <c r="E30" s="17">
        <v>0</v>
      </c>
      <c r="F30" s="17">
        <v>0</v>
      </c>
      <c r="G30" s="17">
        <v>0</v>
      </c>
      <c r="H30" s="17">
        <v>0</v>
      </c>
      <c r="I30" s="23">
        <v>0</v>
      </c>
      <c r="J30" s="20">
        <f>Loans!J10*J78</f>
        <v>0</v>
      </c>
      <c r="K30" s="20">
        <f>Loans!K10*K78</f>
        <v>0</v>
      </c>
      <c r="L30" s="20">
        <f>Loans!L10*L78</f>
        <v>0</v>
      </c>
      <c r="M30" s="20">
        <f>Loans!M10*M78</f>
        <v>0</v>
      </c>
      <c r="N30" s="20">
        <f>Loans!N10*N78</f>
        <v>0</v>
      </c>
      <c r="O30" s="47"/>
    </row>
    <row r="31" spans="2:15" ht="15">
      <c r="B31" s="4" t="str">
        <f t="shared" si="5"/>
        <v>Other:</v>
      </c>
      <c r="C31" s="46"/>
      <c r="D31" s="46"/>
      <c r="E31" s="17">
        <v>-46</v>
      </c>
      <c r="F31" s="17">
        <v>-48</v>
      </c>
      <c r="G31" s="17">
        <v>-40</v>
      </c>
      <c r="H31" s="17">
        <v>-29</v>
      </c>
      <c r="I31" s="23">
        <v>-25</v>
      </c>
      <c r="J31" s="20">
        <f>Loans!J11*J79</f>
        <v>-25.001549999999998</v>
      </c>
      <c r="K31" s="20">
        <f>Loans!K11*K79</f>
        <v>-31.501952999999997</v>
      </c>
      <c r="L31" s="20">
        <f>Loans!L11*L79</f>
        <v>-35.833471537499996</v>
      </c>
      <c r="M31" s="20">
        <f>Loans!M11*M79</f>
        <v>-39.554639735624995</v>
      </c>
      <c r="N31" s="20">
        <f>Loans!N11*N79</f>
        <v>-43.43947042394531</v>
      </c>
      <c r="O31" s="47"/>
    </row>
    <row r="32" spans="2:15" ht="15">
      <c r="B32" s="4" t="str">
        <f t="shared" si="5"/>
        <v>Consumer:</v>
      </c>
      <c r="C32" s="46"/>
      <c r="D32" s="46"/>
      <c r="E32" s="17">
        <v>-717</v>
      </c>
      <c r="F32" s="17">
        <v>-622</v>
      </c>
      <c r="G32" s="17">
        <v>-716</v>
      </c>
      <c r="H32" s="17">
        <v>-793</v>
      </c>
      <c r="I32" s="23">
        <v>-941</v>
      </c>
      <c r="J32" s="20">
        <f>J56</f>
        <v>-1030.85851</v>
      </c>
      <c r="K32" s="20">
        <f>K56</f>
        <v>-1159.439812375</v>
      </c>
      <c r="L32" s="20">
        <f>L56</f>
        <v>-1296.2591524499999</v>
      </c>
      <c r="M32" s="20">
        <f>M56</f>
        <v>-1419.1966884296876</v>
      </c>
      <c r="N32" s="20">
        <f>N56</f>
        <v>-1551.4684166698437</v>
      </c>
      <c r="O32" s="47"/>
    </row>
    <row r="33" spans="2:15" ht="15">
      <c r="B33" s="26" t="s">
        <v>53</v>
      </c>
      <c r="C33" s="64"/>
      <c r="D33" s="64"/>
      <c r="E33" s="18">
        <f aca="true" t="shared" si="6" ref="E33:N33">SUM(E27:E32)</f>
        <v>-883</v>
      </c>
      <c r="F33" s="18">
        <f t="shared" si="6"/>
        <v>-767</v>
      </c>
      <c r="G33" s="18">
        <f t="shared" si="6"/>
        <v>-808</v>
      </c>
      <c r="H33" s="18">
        <f t="shared" si="6"/>
        <v>-889</v>
      </c>
      <c r="I33" s="18">
        <f t="shared" si="6"/>
        <v>-1034</v>
      </c>
      <c r="J33" s="18">
        <f t="shared" si="6"/>
        <v>-1128.43436</v>
      </c>
      <c r="K33" s="18">
        <f t="shared" si="6"/>
        <v>-1268.880387875</v>
      </c>
      <c r="L33" s="18">
        <f t="shared" si="6"/>
        <v>-1448.2810590187498</v>
      </c>
      <c r="M33" s="18">
        <f t="shared" si="6"/>
        <v>-1614.7738215840625</v>
      </c>
      <c r="N33" s="18">
        <f t="shared" si="6"/>
        <v>-1758.6425127616014</v>
      </c>
      <c r="O33" s="47"/>
    </row>
    <row r="34" spans="2:15" ht="15">
      <c r="B34" s="2" t="s">
        <v>54</v>
      </c>
      <c r="C34" s="46"/>
      <c r="D34" s="46"/>
      <c r="E34" s="65"/>
      <c r="F34" s="65"/>
      <c r="G34" s="65"/>
      <c r="H34" s="65"/>
      <c r="I34" s="74"/>
      <c r="J34" s="46"/>
      <c r="K34" s="46"/>
      <c r="L34" s="46"/>
      <c r="M34" s="46"/>
      <c r="N34" s="46"/>
      <c r="O34" s="47"/>
    </row>
    <row r="35" spans="2:15" ht="15">
      <c r="B35" s="4" t="str">
        <f aca="true" t="shared" si="7" ref="B35:B40">B27</f>
        <v>Commercial and Industrial:</v>
      </c>
      <c r="C35" s="46"/>
      <c r="D35" s="46"/>
      <c r="E35" s="17">
        <v>-122</v>
      </c>
      <c r="F35" s="17">
        <v>-26</v>
      </c>
      <c r="G35" s="17">
        <v>-8</v>
      </c>
      <c r="H35" s="17">
        <v>-16</v>
      </c>
      <c r="I35" s="23">
        <v>-1</v>
      </c>
      <c r="J35" s="19">
        <f>Loans!J14*J83</f>
        <v>-1.075</v>
      </c>
      <c r="K35" s="19">
        <f>Loans!K14*K83</f>
        <v>-1.1556249999999997</v>
      </c>
      <c r="L35" s="19">
        <f>Loans!L14*L83</f>
        <v>-1.2422968749999996</v>
      </c>
      <c r="M35" s="19">
        <f>Loans!M14*M83</f>
        <v>-1.3044117187499997</v>
      </c>
      <c r="N35" s="19">
        <f>Loans!N14*N83</f>
        <v>-1.3696323046874996</v>
      </c>
      <c r="O35" s="47"/>
    </row>
    <row r="36" spans="2:15" ht="15">
      <c r="B36" s="4" t="str">
        <f t="shared" si="7"/>
        <v>Real Estate:</v>
      </c>
      <c r="C36" s="46"/>
      <c r="D36" s="46"/>
      <c r="E36" s="17">
        <v>0</v>
      </c>
      <c r="F36" s="17">
        <v>0</v>
      </c>
      <c r="G36" s="17">
        <v>0</v>
      </c>
      <c r="H36" s="17">
        <v>0</v>
      </c>
      <c r="I36" s="23">
        <v>0</v>
      </c>
      <c r="J36" s="20">
        <f>Loans!J15*J84</f>
        <v>0</v>
      </c>
      <c r="K36" s="20">
        <f>Loans!K15*K84</f>
        <v>0</v>
      </c>
      <c r="L36" s="20">
        <f>Loans!L15*L84</f>
        <v>0</v>
      </c>
      <c r="M36" s="20">
        <f>Loans!M15*M84</f>
        <v>0</v>
      </c>
      <c r="N36" s="20">
        <f>Loans!N15*N84</f>
        <v>0</v>
      </c>
      <c r="O36" s="47"/>
    </row>
    <row r="37" spans="2:15" ht="15">
      <c r="B37" s="4" t="str">
        <f t="shared" si="7"/>
        <v>Financial Institutions</v>
      </c>
      <c r="C37" s="46"/>
      <c r="D37" s="46"/>
      <c r="E37" s="17">
        <v>-7</v>
      </c>
      <c r="F37" s="17">
        <v>-11</v>
      </c>
      <c r="G37" s="17">
        <v>-1</v>
      </c>
      <c r="H37" s="17">
        <v>0</v>
      </c>
      <c r="I37" s="23">
        <v>0</v>
      </c>
      <c r="J37" s="20">
        <f>Loans!J16*J85</f>
        <v>0</v>
      </c>
      <c r="K37" s="20">
        <f>Loans!K16*K85</f>
        <v>0</v>
      </c>
      <c r="L37" s="20">
        <f>Loans!L16*L85</f>
        <v>0</v>
      </c>
      <c r="M37" s="20">
        <f>Loans!M16*M85</f>
        <v>0</v>
      </c>
      <c r="N37" s="20">
        <f>Loans!N16*N85</f>
        <v>0</v>
      </c>
      <c r="O37" s="47"/>
    </row>
    <row r="38" spans="2:15" ht="15">
      <c r="B38" s="4" t="str">
        <f t="shared" si="7"/>
        <v>Government Agencies:</v>
      </c>
      <c r="C38" s="46"/>
      <c r="D38" s="46"/>
      <c r="E38" s="17">
        <v>-15</v>
      </c>
      <c r="F38" s="17">
        <v>0</v>
      </c>
      <c r="G38" s="17">
        <v>0</v>
      </c>
      <c r="H38" s="17">
        <v>0</v>
      </c>
      <c r="I38" s="23">
        <v>0</v>
      </c>
      <c r="J38" s="20">
        <f>Loans!J17*J86</f>
        <v>0</v>
      </c>
      <c r="K38" s="20">
        <f>Loans!K17*K86</f>
        <v>0</v>
      </c>
      <c r="L38" s="20">
        <f>Loans!L17*L86</f>
        <v>0</v>
      </c>
      <c r="M38" s="20">
        <f>Loans!M17*M86</f>
        <v>0</v>
      </c>
      <c r="N38" s="20">
        <f>Loans!N17*N86</f>
        <v>0</v>
      </c>
      <c r="O38" s="47"/>
    </row>
    <row r="39" spans="2:15" ht="15">
      <c r="B39" s="4" t="str">
        <f t="shared" si="7"/>
        <v>Other:</v>
      </c>
      <c r="C39" s="46"/>
      <c r="D39" s="46"/>
      <c r="E39" s="17">
        <v>-22</v>
      </c>
      <c r="F39" s="17">
        <v>-26</v>
      </c>
      <c r="G39" s="17">
        <v>-12</v>
      </c>
      <c r="H39" s="17">
        <v>-7</v>
      </c>
      <c r="I39" s="23">
        <v>0</v>
      </c>
      <c r="J39" s="20">
        <f>Loans!J18*J87</f>
        <v>0</v>
      </c>
      <c r="K39" s="20">
        <f>Loans!K18*K87</f>
        <v>0</v>
      </c>
      <c r="L39" s="20">
        <f>Loans!L18*L87</f>
        <v>0</v>
      </c>
      <c r="M39" s="20">
        <f>Loans!M18*M87</f>
        <v>0</v>
      </c>
      <c r="N39" s="20">
        <f>Loans!N18*N87</f>
        <v>0</v>
      </c>
      <c r="O39" s="47"/>
    </row>
    <row r="40" spans="2:15" ht="15">
      <c r="B40" s="4" t="str">
        <f t="shared" si="7"/>
        <v>Consumer:</v>
      </c>
      <c r="C40" s="46"/>
      <c r="D40" s="46"/>
      <c r="E40" s="17">
        <v>-1</v>
      </c>
      <c r="F40" s="17">
        <v>-12</v>
      </c>
      <c r="G40" s="17">
        <v>0</v>
      </c>
      <c r="H40" s="17">
        <v>-17</v>
      </c>
      <c r="I40" s="23">
        <v>-18</v>
      </c>
      <c r="J40" s="17">
        <v>0</v>
      </c>
      <c r="K40" s="20">
        <f>J40</f>
        <v>0</v>
      </c>
      <c r="L40" s="20">
        <f>K40</f>
        <v>0</v>
      </c>
      <c r="M40" s="20">
        <f>L40</f>
        <v>0</v>
      </c>
      <c r="N40" s="20">
        <f>M40</f>
        <v>0</v>
      </c>
      <c r="O40" s="47"/>
    </row>
    <row r="41" spans="2:15" ht="15">
      <c r="B41" s="26" t="s">
        <v>55</v>
      </c>
      <c r="C41" s="64"/>
      <c r="D41" s="64"/>
      <c r="E41" s="18">
        <f aca="true" t="shared" si="8" ref="E41:N41">SUM(E35:E40)</f>
        <v>-167</v>
      </c>
      <c r="F41" s="18">
        <f t="shared" si="8"/>
        <v>-75</v>
      </c>
      <c r="G41" s="18">
        <f t="shared" si="8"/>
        <v>-21</v>
      </c>
      <c r="H41" s="18">
        <f t="shared" si="8"/>
        <v>-40</v>
      </c>
      <c r="I41" s="18">
        <f t="shared" si="8"/>
        <v>-19</v>
      </c>
      <c r="J41" s="18">
        <f t="shared" si="8"/>
        <v>-1.075</v>
      </c>
      <c r="K41" s="18">
        <f t="shared" si="8"/>
        <v>-1.1556249999999997</v>
      </c>
      <c r="L41" s="18">
        <f t="shared" si="8"/>
        <v>-1.2422968749999996</v>
      </c>
      <c r="M41" s="18">
        <f t="shared" si="8"/>
        <v>-1.3044117187499997</v>
      </c>
      <c r="N41" s="18">
        <f t="shared" si="8"/>
        <v>-1.3696323046874996</v>
      </c>
      <c r="O41" s="47"/>
    </row>
    <row r="42" spans="2:15" ht="15">
      <c r="B42" s="28" t="s">
        <v>56</v>
      </c>
      <c r="C42" s="64"/>
      <c r="D42" s="64"/>
      <c r="E42" s="18">
        <f aca="true" t="shared" si="9" ref="E42:N42">E41+E33</f>
        <v>-1050</v>
      </c>
      <c r="F42" s="18">
        <f t="shared" si="9"/>
        <v>-842</v>
      </c>
      <c r="G42" s="18">
        <f t="shared" si="9"/>
        <v>-829</v>
      </c>
      <c r="H42" s="18">
        <f t="shared" si="9"/>
        <v>-929</v>
      </c>
      <c r="I42" s="18">
        <f t="shared" si="9"/>
        <v>-1053</v>
      </c>
      <c r="J42" s="18">
        <f t="shared" si="9"/>
        <v>-1129.50936</v>
      </c>
      <c r="K42" s="18">
        <f t="shared" si="9"/>
        <v>-1270.036012875</v>
      </c>
      <c r="L42" s="18">
        <f t="shared" si="9"/>
        <v>-1449.5233558937498</v>
      </c>
      <c r="M42" s="18">
        <f t="shared" si="9"/>
        <v>-1616.0782333028126</v>
      </c>
      <c r="N42" s="18">
        <f t="shared" si="9"/>
        <v>-1760.012145066289</v>
      </c>
      <c r="O42" s="47"/>
    </row>
    <row r="43" spans="2:15" ht="15">
      <c r="B43" s="2" t="s">
        <v>57</v>
      </c>
      <c r="C43" s="46"/>
      <c r="D43" s="46"/>
      <c r="E43" s="74">
        <f aca="true" t="shared" si="10" ref="E43:N43">E25+E42</f>
        <v>3819</v>
      </c>
      <c r="F43" s="74">
        <f t="shared" si="10"/>
        <v>3042</v>
      </c>
      <c r="G43" s="74">
        <f t="shared" si="10"/>
        <v>4538</v>
      </c>
      <c r="H43" s="74">
        <f t="shared" si="10"/>
        <v>9835</v>
      </c>
      <c r="I43" s="74">
        <f t="shared" si="10"/>
        <v>22965</v>
      </c>
      <c r="J43" s="74">
        <f t="shared" si="10"/>
        <v>16062.098915000002</v>
      </c>
      <c r="K43" s="74">
        <f t="shared" si="10"/>
        <v>15461.867944624999</v>
      </c>
      <c r="L43" s="74">
        <f t="shared" si="10"/>
        <v>13500.532570856252</v>
      </c>
      <c r="M43" s="74">
        <f t="shared" si="10"/>
        <v>10798.488389736249</v>
      </c>
      <c r="N43" s="74">
        <f t="shared" si="10"/>
        <v>7850.357880161525</v>
      </c>
      <c r="O43" s="47"/>
    </row>
    <row r="44" spans="2:15" ht="15">
      <c r="B44" s="11" t="s">
        <v>58</v>
      </c>
      <c r="C44" s="46"/>
      <c r="D44" s="46"/>
      <c r="E44" s="17">
        <v>17</v>
      </c>
      <c r="F44" s="17">
        <v>75</v>
      </c>
      <c r="G44" s="17">
        <v>0</v>
      </c>
      <c r="H44" s="17">
        <v>6</v>
      </c>
      <c r="I44" s="23">
        <v>0</v>
      </c>
      <c r="J44" s="20">
        <f aca="true" t="shared" si="11" ref="J44:N45">I44</f>
        <v>0</v>
      </c>
      <c r="K44" s="20">
        <f t="shared" si="11"/>
        <v>0</v>
      </c>
      <c r="L44" s="20">
        <f t="shared" si="11"/>
        <v>0</v>
      </c>
      <c r="M44" s="20">
        <f t="shared" si="11"/>
        <v>0</v>
      </c>
      <c r="N44" s="20">
        <f t="shared" si="11"/>
        <v>0</v>
      </c>
      <c r="O44" s="47"/>
    </row>
    <row r="45" spans="2:15" ht="15">
      <c r="B45" s="11" t="s">
        <v>59</v>
      </c>
      <c r="C45" s="46"/>
      <c r="D45" s="46"/>
      <c r="E45" s="17">
        <v>0</v>
      </c>
      <c r="F45" s="17">
        <v>0</v>
      </c>
      <c r="G45" s="17">
        <v>-56</v>
      </c>
      <c r="H45" s="17">
        <v>0</v>
      </c>
      <c r="I45" s="23">
        <v>0</v>
      </c>
      <c r="J45" s="20">
        <f t="shared" si="11"/>
        <v>0</v>
      </c>
      <c r="K45" s="20">
        <f t="shared" si="11"/>
        <v>0</v>
      </c>
      <c r="L45" s="20">
        <f t="shared" si="11"/>
        <v>0</v>
      </c>
      <c r="M45" s="20">
        <f t="shared" si="11"/>
        <v>0</v>
      </c>
      <c r="N45" s="20">
        <f t="shared" si="11"/>
        <v>0</v>
      </c>
      <c r="O45" s="47"/>
    </row>
    <row r="46" spans="2:15" ht="15">
      <c r="B46" s="11" t="s">
        <v>14</v>
      </c>
      <c r="C46" s="46"/>
      <c r="D46" s="46"/>
      <c r="E46" s="17">
        <v>-3</v>
      </c>
      <c r="F46" s="17">
        <v>3</v>
      </c>
      <c r="G46" s="17">
        <v>11</v>
      </c>
      <c r="H46" s="17">
        <v>-13</v>
      </c>
      <c r="I46" s="23">
        <v>-332</v>
      </c>
      <c r="J46" s="17">
        <v>0</v>
      </c>
      <c r="K46" s="20">
        <f>J46</f>
        <v>0</v>
      </c>
      <c r="L46" s="20">
        <f>K46</f>
        <v>0</v>
      </c>
      <c r="M46" s="20">
        <f>L46</f>
        <v>0</v>
      </c>
      <c r="N46" s="20">
        <f>M46</f>
        <v>0</v>
      </c>
      <c r="O46" s="47"/>
    </row>
    <row r="47" spans="2:15" ht="15">
      <c r="B47" s="28" t="s">
        <v>60</v>
      </c>
      <c r="C47" s="64"/>
      <c r="D47" s="64"/>
      <c r="E47" s="27">
        <f aca="true" t="shared" si="12" ref="E47:N47">E6+E7+E8-E43+E44+E45+E46</f>
        <v>7090</v>
      </c>
      <c r="F47" s="27">
        <f t="shared" si="12"/>
        <v>7279</v>
      </c>
      <c r="G47" s="27">
        <f t="shared" si="12"/>
        <v>9234</v>
      </c>
      <c r="H47" s="27">
        <f t="shared" si="12"/>
        <v>23164</v>
      </c>
      <c r="I47" s="27">
        <f t="shared" si="12"/>
        <v>31602</v>
      </c>
      <c r="J47" s="27">
        <f t="shared" si="12"/>
        <v>32854.40551187624</v>
      </c>
      <c r="K47" s="27">
        <f t="shared" si="12"/>
        <v>27755.582742691553</v>
      </c>
      <c r="L47" s="27">
        <f t="shared" si="12"/>
        <v>21531.32021585352</v>
      </c>
      <c r="M47" s="27">
        <f t="shared" si="12"/>
        <v>16820.313643633228</v>
      </c>
      <c r="N47" s="27">
        <f t="shared" si="12"/>
        <v>14510.980102824655</v>
      </c>
      <c r="O47" s="47"/>
    </row>
    <row r="48" spans="2:15" ht="15">
      <c r="B48" s="11"/>
      <c r="C48" s="46"/>
      <c r="D48" s="46"/>
      <c r="E48" s="65"/>
      <c r="F48" s="65"/>
      <c r="G48" s="65"/>
      <c r="H48" s="65"/>
      <c r="I48" s="65"/>
      <c r="J48" s="46"/>
      <c r="K48" s="46"/>
      <c r="L48" s="46"/>
      <c r="M48" s="46"/>
      <c r="N48" s="46"/>
      <c r="O48" s="47"/>
    </row>
    <row r="49" spans="2:15" ht="15">
      <c r="B49" s="2" t="s">
        <v>61</v>
      </c>
      <c r="C49" s="46"/>
      <c r="D49" s="46"/>
      <c r="E49" s="65"/>
      <c r="F49" s="65"/>
      <c r="G49" s="65"/>
      <c r="H49" s="65"/>
      <c r="I49" s="65"/>
      <c r="J49" s="46"/>
      <c r="K49" s="46"/>
      <c r="L49" s="46"/>
      <c r="M49" s="46"/>
      <c r="N49" s="46"/>
      <c r="O49" s="47"/>
    </row>
    <row r="50" spans="2:15" ht="15">
      <c r="B50" s="11"/>
      <c r="C50" s="46"/>
      <c r="D50" s="46"/>
      <c r="E50" s="65"/>
      <c r="F50" s="65"/>
      <c r="G50" s="65"/>
      <c r="H50" s="65"/>
      <c r="I50" s="65"/>
      <c r="J50" s="46"/>
      <c r="K50" s="46"/>
      <c r="L50" s="46"/>
      <c r="M50" s="46"/>
      <c r="N50" s="46"/>
      <c r="O50" s="47"/>
    </row>
    <row r="51" spans="2:15" ht="15">
      <c r="B51" s="11" t="s">
        <v>62</v>
      </c>
      <c r="C51" s="46"/>
      <c r="D51" s="46"/>
      <c r="E51" s="65"/>
      <c r="F51" s="65"/>
      <c r="G51" s="65"/>
      <c r="H51" s="65"/>
      <c r="I51" s="65"/>
      <c r="J51" s="46"/>
      <c r="K51" s="46"/>
      <c r="L51" s="46"/>
      <c r="M51" s="46"/>
      <c r="N51" s="46"/>
      <c r="O51" s="47"/>
    </row>
    <row r="52" spans="2:15" ht="15">
      <c r="B52" s="1" t="s">
        <v>76</v>
      </c>
      <c r="C52" s="46"/>
      <c r="D52" s="46"/>
      <c r="E52" s="75">
        <f>E8/E95</f>
        <v>0.008719767407826571</v>
      </c>
      <c r="F52" s="75">
        <f>F8/F95</f>
        <v>0.006936759545469546</v>
      </c>
      <c r="G52" s="75">
        <f>G8/G95</f>
        <v>0.013629948361299953</v>
      </c>
      <c r="H52" s="75">
        <f>H8/H95</f>
        <v>0.03606821319936617</v>
      </c>
      <c r="I52" s="76">
        <f>I8/I95</f>
        <v>0.04647195355001208</v>
      </c>
      <c r="J52" s="77">
        <v>0.0265</v>
      </c>
      <c r="K52" s="77">
        <v>0.015</v>
      </c>
      <c r="L52" s="77">
        <v>0.01</v>
      </c>
      <c r="M52" s="77">
        <v>0.008</v>
      </c>
      <c r="N52" s="77">
        <v>0.007</v>
      </c>
      <c r="O52" s="47"/>
    </row>
    <row r="53" spans="2:15" ht="15">
      <c r="B53" s="11"/>
      <c r="C53" s="46"/>
      <c r="D53" s="46"/>
      <c r="E53" s="65"/>
      <c r="F53" s="65"/>
      <c r="G53" s="65"/>
      <c r="H53" s="65"/>
      <c r="I53" s="65"/>
      <c r="J53" s="46"/>
      <c r="K53" s="46"/>
      <c r="L53" s="46"/>
      <c r="M53" s="46"/>
      <c r="N53" s="46"/>
      <c r="O53" s="47"/>
    </row>
    <row r="54" spans="2:15" ht="15">
      <c r="B54" s="2" t="s">
        <v>63</v>
      </c>
      <c r="C54" s="46"/>
      <c r="D54" s="46"/>
      <c r="E54" s="78">
        <f>Loans!E33</f>
        <v>269037</v>
      </c>
      <c r="F54" s="78">
        <f>Loans!F33</f>
        <v>299385</v>
      </c>
      <c r="G54" s="78">
        <f>Loans!G33</f>
        <v>306298</v>
      </c>
      <c r="H54" s="78">
        <f>Loans!H33</f>
        <v>482854</v>
      </c>
      <c r="I54" s="78">
        <f>Loans!I33</f>
        <v>429283</v>
      </c>
      <c r="J54" s="78">
        <f>Loans!J33</f>
        <v>468572.05</v>
      </c>
      <c r="K54" s="78">
        <f>Loans!K33</f>
        <v>504104.26625</v>
      </c>
      <c r="L54" s="78">
        <f>Loans!L33</f>
        <v>540107.9801875</v>
      </c>
      <c r="M54" s="78">
        <f>Loans!M33</f>
        <v>567678.675371875</v>
      </c>
      <c r="N54" s="78">
        <f>Loans!N33</f>
        <v>596718.6217960938</v>
      </c>
      <c r="O54" s="47"/>
    </row>
    <row r="55" spans="2:15" ht="15">
      <c r="B55" s="4" t="s">
        <v>64</v>
      </c>
      <c r="C55" s="46"/>
      <c r="D55" s="46"/>
      <c r="E55" s="79">
        <f>E15+E23</f>
        <v>4614</v>
      </c>
      <c r="F55" s="79">
        <f>F15+F23</f>
        <v>3698</v>
      </c>
      <c r="G55" s="79">
        <f>G15+G23</f>
        <v>5182</v>
      </c>
      <c r="H55" s="79">
        <f>H15+H23</f>
        <v>10243</v>
      </c>
      <c r="I55" s="80">
        <f>I15+I23</f>
        <v>20792</v>
      </c>
      <c r="J55" s="79">
        <f>J54*J64</f>
        <v>15228.591625000001</v>
      </c>
      <c r="K55" s="79">
        <f>K54*K64</f>
        <v>15123.127987499998</v>
      </c>
      <c r="L55" s="79">
        <f>L54*L64</f>
        <v>13502.699504687502</v>
      </c>
      <c r="M55" s="79">
        <f>M54*M64</f>
        <v>11353.5735074375</v>
      </c>
      <c r="N55" s="79">
        <f>N54*N64</f>
        <v>8950.779326941407</v>
      </c>
      <c r="O55" s="47"/>
    </row>
    <row r="56" spans="2:15" ht="15">
      <c r="B56" s="4" t="s">
        <v>65</v>
      </c>
      <c r="C56" s="46"/>
      <c r="D56" s="46"/>
      <c r="E56" s="79">
        <f>E32+E40</f>
        <v>-718</v>
      </c>
      <c r="F56" s="79">
        <f>F32+F40</f>
        <v>-634</v>
      </c>
      <c r="G56" s="79">
        <f>G32+G40</f>
        <v>-716</v>
      </c>
      <c r="H56" s="79">
        <f>H32+H40</f>
        <v>-810</v>
      </c>
      <c r="I56" s="80">
        <f>I32+I40</f>
        <v>-959</v>
      </c>
      <c r="J56" s="79">
        <f>J54*J80</f>
        <v>-1030.85851</v>
      </c>
      <c r="K56" s="79">
        <f>K54*K80</f>
        <v>-1159.439812375</v>
      </c>
      <c r="L56" s="79">
        <f>L54*L80</f>
        <v>-1296.2591524499999</v>
      </c>
      <c r="M56" s="79">
        <f>M54*M80</f>
        <v>-1419.1966884296876</v>
      </c>
      <c r="N56" s="79">
        <f>N54*N80</f>
        <v>-1551.4684166698437</v>
      </c>
      <c r="O56" s="47"/>
    </row>
    <row r="57" spans="2:15" ht="15">
      <c r="B57" s="11"/>
      <c r="C57" s="46"/>
      <c r="D57" s="46"/>
      <c r="E57" s="65"/>
      <c r="F57" s="65"/>
      <c r="G57" s="65"/>
      <c r="H57" s="65"/>
      <c r="I57" s="65"/>
      <c r="J57" s="46"/>
      <c r="K57" s="46"/>
      <c r="L57" s="46"/>
      <c r="M57" s="46"/>
      <c r="N57" s="46"/>
      <c r="O57" s="47"/>
    </row>
    <row r="58" spans="2:15" ht="15">
      <c r="B58" s="2" t="str">
        <f>B9</f>
        <v>US Charge-Offs:</v>
      </c>
      <c r="C58" s="46"/>
      <c r="D58" s="46"/>
      <c r="E58" s="65"/>
      <c r="F58" s="65"/>
      <c r="G58" s="65"/>
      <c r="H58" s="65"/>
      <c r="I58" s="65"/>
      <c r="J58" s="46"/>
      <c r="K58" s="46"/>
      <c r="L58" s="46"/>
      <c r="M58" s="46"/>
      <c r="N58" s="46"/>
      <c r="O58" s="47"/>
    </row>
    <row r="59" spans="2:15" ht="15">
      <c r="B59" s="4" t="str">
        <f aca="true" t="shared" si="13" ref="B59:B65">B10</f>
        <v>Commercial and Industrial:</v>
      </c>
      <c r="C59" s="46"/>
      <c r="D59" s="46"/>
      <c r="E59" s="75">
        <f>E10/Loans!E7</f>
        <v>0.003533893248887053</v>
      </c>
      <c r="F59" s="75">
        <f>F10/Loans!F7</f>
        <v>0.0016494845360824743</v>
      </c>
      <c r="G59" s="75">
        <f>G10/Loans!G7</f>
        <v>0.00048515289450778385</v>
      </c>
      <c r="H59" s="75">
        <f>H10/Loans!H7</f>
        <v>0.0024678704839992986</v>
      </c>
      <c r="I59" s="76">
        <f>I10/Loans!I7</f>
        <v>0.024123021540508285</v>
      </c>
      <c r="J59" s="77">
        <v>0.01</v>
      </c>
      <c r="K59" s="77">
        <v>0.01</v>
      </c>
      <c r="L59" s="77">
        <v>0.01</v>
      </c>
      <c r="M59" s="77">
        <v>0.0075</v>
      </c>
      <c r="N59" s="77">
        <v>0.005</v>
      </c>
      <c r="O59" s="47"/>
    </row>
    <row r="60" spans="2:15" ht="15">
      <c r="B60" s="4" t="str">
        <f t="shared" si="13"/>
        <v>Real Estate:</v>
      </c>
      <c r="C60" s="46"/>
      <c r="D60" s="46"/>
      <c r="E60" s="75">
        <f>E11/Loans!E8</f>
        <v>0.00012117540139351712</v>
      </c>
      <c r="F60" s="75">
        <f>F11/Loans!F8</f>
        <v>0.0005541087161301047</v>
      </c>
      <c r="G60" s="75">
        <f>G11/Loans!G8</f>
        <v>0.002879138761970332</v>
      </c>
      <c r="H60" s="75">
        <f>H11/Loans!H8</f>
        <v>0.0035062207141703023</v>
      </c>
      <c r="I60" s="76">
        <f>I11/Loans!I8</f>
        <v>0.012734218664726214</v>
      </c>
      <c r="J60" s="77">
        <v>0.0075</v>
      </c>
      <c r="K60" s="77">
        <v>0.005</v>
      </c>
      <c r="L60" s="77">
        <v>0.005</v>
      </c>
      <c r="M60" s="77">
        <v>0.003</v>
      </c>
      <c r="N60" s="77">
        <v>0.001</v>
      </c>
      <c r="O60" s="47"/>
    </row>
    <row r="61" spans="2:15" ht="15">
      <c r="B61" s="4" t="str">
        <f t="shared" si="13"/>
        <v>Financial Institutions</v>
      </c>
      <c r="C61" s="46"/>
      <c r="D61" s="46"/>
      <c r="E61" s="75">
        <f>E12/Loans!E9</f>
        <v>0.00014618814414151012</v>
      </c>
      <c r="F61" s="75">
        <f>F12/Loans!F9</f>
        <v>6.397134083930399E-05</v>
      </c>
      <c r="G61" s="75">
        <f>G12/Loans!G9</f>
        <v>0.000595513796069609</v>
      </c>
      <c r="H61" s="75">
        <f>H12/Loans!H9</f>
        <v>0.0008113396649644442</v>
      </c>
      <c r="I61" s="76">
        <f>I12/Loans!I9</f>
        <v>0.049494725971822674</v>
      </c>
      <c r="J61" s="77">
        <v>0.03</v>
      </c>
      <c r="K61" s="77">
        <v>0.015</v>
      </c>
      <c r="L61" s="77">
        <v>0.005</v>
      </c>
      <c r="M61" s="77">
        <v>0.001</v>
      </c>
      <c r="N61" s="77">
        <v>0.001</v>
      </c>
      <c r="O61" s="47"/>
    </row>
    <row r="62" spans="2:15" ht="15">
      <c r="B62" s="4" t="str">
        <f t="shared" si="13"/>
        <v>Government Agencies:</v>
      </c>
      <c r="C62" s="46"/>
      <c r="D62" s="46"/>
      <c r="E62" s="75">
        <f>E13/Loans!E10</f>
        <v>0</v>
      </c>
      <c r="F62" s="75">
        <f>F13/Loans!F10</f>
        <v>0.00048216007714561236</v>
      </c>
      <c r="G62" s="75">
        <f>G13/Loans!G10</f>
        <v>0.0017331022530329288</v>
      </c>
      <c r="H62" s="75">
        <f>H13/Loans!H10</f>
        <v>0</v>
      </c>
      <c r="I62" s="76">
        <f>I13/Loans!I10</f>
        <v>0</v>
      </c>
      <c r="J62" s="81">
        <f>I62</f>
        <v>0</v>
      </c>
      <c r="K62" s="81">
        <f>J62</f>
        <v>0</v>
      </c>
      <c r="L62" s="81">
        <f>K62</f>
        <v>0</v>
      </c>
      <c r="M62" s="81">
        <f>L62</f>
        <v>0</v>
      </c>
      <c r="N62" s="81">
        <f>M62</f>
        <v>0</v>
      </c>
      <c r="O62" s="47"/>
    </row>
    <row r="63" spans="2:15" ht="15">
      <c r="B63" s="4" t="str">
        <f t="shared" si="13"/>
        <v>Other:</v>
      </c>
      <c r="C63" s="46"/>
      <c r="D63" s="46"/>
      <c r="E63" s="75">
        <f>E14/Loans!E11</f>
        <v>0.0018501387604070306</v>
      </c>
      <c r="F63" s="75">
        <f>F14/Loans!F11</f>
        <v>0.0011125189282734324</v>
      </c>
      <c r="G63" s="75">
        <f>G14/Loans!G11</f>
        <v>0.0030784432958346</v>
      </c>
      <c r="H63" s="75">
        <f>H14/Loans!H11</f>
        <v>0.0014668287163153262</v>
      </c>
      <c r="I63" s="76">
        <f>I14/Loans!I11</f>
        <v>0.0063416068203771365</v>
      </c>
      <c r="J63" s="77">
        <v>0.005</v>
      </c>
      <c r="K63" s="77">
        <v>0.004</v>
      </c>
      <c r="L63" s="77">
        <v>0.003</v>
      </c>
      <c r="M63" s="77">
        <v>0.003</v>
      </c>
      <c r="N63" s="77">
        <v>0.002</v>
      </c>
      <c r="O63" s="47"/>
    </row>
    <row r="64" spans="2:15" ht="15">
      <c r="B64" s="4" t="str">
        <f t="shared" si="13"/>
        <v>Consumer:</v>
      </c>
      <c r="C64" s="46"/>
      <c r="D64" s="46"/>
      <c r="E64" s="75">
        <f>E55/E54</f>
        <v>0.01715005742704535</v>
      </c>
      <c r="F64" s="75">
        <f>F55/F54</f>
        <v>0.012351988242563923</v>
      </c>
      <c r="G64" s="75">
        <f>G55/G54</f>
        <v>0.01691816466317116</v>
      </c>
      <c r="H64" s="75">
        <f>H55/H54</f>
        <v>0.021213451685188484</v>
      </c>
      <c r="I64" s="76">
        <f>I55/I54</f>
        <v>0.04843424966746878</v>
      </c>
      <c r="J64" s="77">
        <v>0.0325</v>
      </c>
      <c r="K64" s="77">
        <v>0.03</v>
      </c>
      <c r="L64" s="77">
        <v>0.025</v>
      </c>
      <c r="M64" s="77">
        <v>0.02</v>
      </c>
      <c r="N64" s="77">
        <v>0.015</v>
      </c>
      <c r="O64" s="47"/>
    </row>
    <row r="65" spans="2:15" ht="15">
      <c r="B65" s="26" t="str">
        <f t="shared" si="13"/>
        <v>Total US Charge-Offs:</v>
      </c>
      <c r="C65" s="64"/>
      <c r="D65" s="64"/>
      <c r="E65" s="82">
        <f>(SUM(E10:E14)+E55)/(Loans!E12+Loans!E33)</f>
        <v>0.01268951619251539</v>
      </c>
      <c r="F65" s="82">
        <f>(SUM(F10:F14)+F55)/(Loans!F12+Loans!F33)</f>
        <v>0.00915394753522727</v>
      </c>
      <c r="G65" s="82">
        <f>(SUM(G10:G14)+G55)/(Loans!G12+Loans!G33)</f>
        <v>0.012198811969487045</v>
      </c>
      <c r="H65" s="82">
        <f>(SUM(H10:H14)+H55)/(Loans!H12+Loans!H33)</f>
        <v>0.015971506652927736</v>
      </c>
      <c r="I65" s="82">
        <f>(SUM(I10:I14)+I55)/(Loans!I12+Loans!I33)</f>
        <v>0.04071283335177603</v>
      </c>
      <c r="J65" s="82">
        <f>(SUM(J10:J14)+J55)/(Loans!J12+Loans!J33)</f>
        <v>0.026631467059903477</v>
      </c>
      <c r="K65" s="82">
        <f>(SUM(K10:K14)+K55)/(Loans!K12+Loans!K33)</f>
        <v>0.024177471622790724</v>
      </c>
      <c r="L65" s="82">
        <f>(SUM(L10:L14)+L55)/(Loans!L12+Loans!L33)</f>
        <v>0.020209595676776874</v>
      </c>
      <c r="M65" s="82">
        <f>(SUM(M10:M14)+M55)/(Loans!M12+Loans!M33)</f>
        <v>0.01600309969545268</v>
      </c>
      <c r="N65" s="82">
        <f>(SUM(N10:N14)+N55)/(Loans!N12+Loans!N33)</f>
        <v>0.011838632535877596</v>
      </c>
      <c r="O65" s="47"/>
    </row>
    <row r="66" spans="2:15" ht="15">
      <c r="B66" s="2" t="str">
        <f>B17</f>
        <v>Non-US Charge-Offs:</v>
      </c>
      <c r="C66" s="46"/>
      <c r="D66" s="46"/>
      <c r="E66" s="65"/>
      <c r="F66" s="65"/>
      <c r="G66" s="65"/>
      <c r="H66" s="65"/>
      <c r="I66" s="65"/>
      <c r="J66" s="46"/>
      <c r="K66" s="46"/>
      <c r="L66" s="46"/>
      <c r="M66" s="46"/>
      <c r="N66" s="46"/>
      <c r="O66" s="47"/>
    </row>
    <row r="67" spans="2:15" ht="15">
      <c r="B67" s="4" t="str">
        <f aca="true" t="shared" si="14" ref="B67:B73">B18</f>
        <v>Commercial and Industrial:</v>
      </c>
      <c r="C67" s="46"/>
      <c r="D67" s="46"/>
      <c r="E67" s="75">
        <f>E18/Loans!E14</f>
        <v>0.0017255324885413858</v>
      </c>
      <c r="F67" s="75">
        <f>F18/Loans!F14</f>
        <v>0.0019215300741799982</v>
      </c>
      <c r="G67" s="75">
        <f>G18/Loans!G14</f>
        <v>5.912087262407993E-05</v>
      </c>
      <c r="H67" s="75">
        <f>H18/Loans!H14</f>
        <v>0.0011334334532883737</v>
      </c>
      <c r="I67" s="76">
        <f>I18/Loans!I14</f>
        <v>0.0031702001188825043</v>
      </c>
      <c r="J67" s="77">
        <v>0.0015</v>
      </c>
      <c r="K67" s="77">
        <v>0.0015</v>
      </c>
      <c r="L67" s="77">
        <v>0.001</v>
      </c>
      <c r="M67" s="77">
        <v>0.001</v>
      </c>
      <c r="N67" s="77">
        <v>0.0005</v>
      </c>
      <c r="O67" s="47"/>
    </row>
    <row r="68" spans="2:15" ht="15">
      <c r="B68" s="4" t="str">
        <f t="shared" si="14"/>
        <v>Real Estate:</v>
      </c>
      <c r="C68" s="46"/>
      <c r="D68" s="46"/>
      <c r="E68" s="75">
        <f>E19/Loans!E15</f>
        <v>0</v>
      </c>
      <c r="F68" s="75">
        <f>F19/Loans!F15</f>
        <v>0</v>
      </c>
      <c r="G68" s="75">
        <f>G19/Loans!G15</f>
        <v>0</v>
      </c>
      <c r="H68" s="75">
        <f>H19/Loans!H15</f>
        <v>0</v>
      </c>
      <c r="I68" s="76">
        <f>I19/Loans!I15</f>
        <v>0</v>
      </c>
      <c r="J68" s="75">
        <f>I68</f>
        <v>0</v>
      </c>
      <c r="K68" s="75">
        <f>J68</f>
        <v>0</v>
      </c>
      <c r="L68" s="75">
        <f>K68</f>
        <v>0</v>
      </c>
      <c r="M68" s="75">
        <f>L68</f>
        <v>0</v>
      </c>
      <c r="N68" s="75">
        <f>M68</f>
        <v>0</v>
      </c>
      <c r="O68" s="47"/>
    </row>
    <row r="69" spans="2:15" ht="15">
      <c r="B69" s="4" t="str">
        <f t="shared" si="14"/>
        <v>Financial Institutions</v>
      </c>
      <c r="C69" s="46"/>
      <c r="D69" s="46"/>
      <c r="E69" s="75">
        <f>E20/Loans!E16</f>
        <v>0</v>
      </c>
      <c r="F69" s="75">
        <f>F20/Loans!F16</f>
        <v>0</v>
      </c>
      <c r="G69" s="75">
        <f>G20/Loans!G16</f>
        <v>0</v>
      </c>
      <c r="H69" s="75">
        <f>H20/Loans!H16</f>
        <v>0.0016522333637192343</v>
      </c>
      <c r="I69" s="76">
        <f>I20/Loans!I16</f>
        <v>0.005570560432140445</v>
      </c>
      <c r="J69" s="77">
        <v>0.005</v>
      </c>
      <c r="K69" s="77">
        <v>0.004</v>
      </c>
      <c r="L69" s="77">
        <v>0.003</v>
      </c>
      <c r="M69" s="77">
        <v>0.002</v>
      </c>
      <c r="N69" s="77">
        <v>0.001</v>
      </c>
      <c r="O69" s="47"/>
    </row>
    <row r="70" spans="2:15" ht="15">
      <c r="B70" s="4" t="str">
        <f t="shared" si="14"/>
        <v>Government Agencies:</v>
      </c>
      <c r="C70" s="46"/>
      <c r="D70" s="46"/>
      <c r="E70" s="75">
        <f>E21/Loans!E17</f>
        <v>0</v>
      </c>
      <c r="F70" s="75">
        <f>F21/Loans!F17</f>
        <v>0</v>
      </c>
      <c r="G70" s="75">
        <f>G21/Loans!G17</f>
        <v>0</v>
      </c>
      <c r="H70" s="75">
        <f>H21/Loans!H17</f>
        <v>0</v>
      </c>
      <c r="I70" s="76">
        <f>I21/Loans!I17</f>
        <v>0</v>
      </c>
      <c r="J70" s="75">
        <f>I70</f>
        <v>0</v>
      </c>
      <c r="K70" s="75">
        <f>J70</f>
        <v>0</v>
      </c>
      <c r="L70" s="75">
        <f>K70</f>
        <v>0</v>
      </c>
      <c r="M70" s="75">
        <f>L70</f>
        <v>0</v>
      </c>
      <c r="N70" s="75">
        <f>M70</f>
        <v>0</v>
      </c>
      <c r="O70" s="47"/>
    </row>
    <row r="71" spans="2:15" ht="15">
      <c r="B71" s="4" t="str">
        <f t="shared" si="14"/>
        <v>Other:</v>
      </c>
      <c r="C71" s="46"/>
      <c r="D71" s="46"/>
      <c r="E71" s="75">
        <f>E22/Loans!E18</f>
        <v>0.00011469205184080744</v>
      </c>
      <c r="F71" s="75">
        <f>F22/Loans!F18</f>
        <v>0.0007512341704228376</v>
      </c>
      <c r="G71" s="75">
        <f>G22/Loans!G18</f>
        <v>0.0001229659384350535</v>
      </c>
      <c r="H71" s="75">
        <f>H22/Loans!H18</f>
        <v>0</v>
      </c>
      <c r="I71" s="76">
        <f>I22/Loans!I18</f>
        <v>0.017874927923677727</v>
      </c>
      <c r="J71" s="77">
        <v>0.015</v>
      </c>
      <c r="K71" s="77">
        <v>0.0125</v>
      </c>
      <c r="L71" s="77">
        <v>0.01</v>
      </c>
      <c r="M71" s="77">
        <v>0.0075</v>
      </c>
      <c r="N71" s="77">
        <v>0.005</v>
      </c>
      <c r="O71" s="47"/>
    </row>
    <row r="72" spans="2:15" ht="15">
      <c r="B72" s="4" t="str">
        <f t="shared" si="14"/>
        <v>Consumer:</v>
      </c>
      <c r="C72" s="46"/>
      <c r="D72" s="46"/>
      <c r="E72" s="77">
        <v>0</v>
      </c>
      <c r="F72" s="75">
        <f aca="true" t="shared" si="15" ref="F72:N72">E72</f>
        <v>0</v>
      </c>
      <c r="G72" s="75">
        <f t="shared" si="15"/>
        <v>0</v>
      </c>
      <c r="H72" s="75">
        <f t="shared" si="15"/>
        <v>0</v>
      </c>
      <c r="I72" s="76">
        <f t="shared" si="15"/>
        <v>0</v>
      </c>
      <c r="J72" s="75">
        <f t="shared" si="15"/>
        <v>0</v>
      </c>
      <c r="K72" s="75">
        <f t="shared" si="15"/>
        <v>0</v>
      </c>
      <c r="L72" s="75">
        <f t="shared" si="15"/>
        <v>0</v>
      </c>
      <c r="M72" s="75">
        <f t="shared" si="15"/>
        <v>0</v>
      </c>
      <c r="N72" s="75">
        <f t="shared" si="15"/>
        <v>0</v>
      </c>
      <c r="O72" s="47"/>
    </row>
    <row r="73" spans="2:15" ht="15">
      <c r="B73" s="26" t="str">
        <f t="shared" si="14"/>
        <v>Total Non-US Charge-Offs:</v>
      </c>
      <c r="C73" s="64"/>
      <c r="D73" s="64"/>
      <c r="E73" s="82">
        <f>SUM(E18:E22)/Loans!E19</f>
        <v>0.0008673710771171739</v>
      </c>
      <c r="F73" s="82">
        <f>SUM(F18:F22)/Loans!F19</f>
        <v>0.0008761682242990654</v>
      </c>
      <c r="G73" s="82">
        <f>SUM(G18:G22)/Loans!G19</f>
        <v>6.263858787567493E-05</v>
      </c>
      <c r="H73" s="82">
        <f>SUM(H18:H22)/Loans!H19</f>
        <v>0.0009167242387203061</v>
      </c>
      <c r="I73" s="82">
        <f>SUM(I18:I22)/Loans!I19</f>
        <v>0.008549646033762933</v>
      </c>
      <c r="J73" s="82">
        <f>SUM(J18:J22)/Loans!J19</f>
        <v>0.006737204664007364</v>
      </c>
      <c r="K73" s="82">
        <f>SUM(K18:K22)/Loans!K19</f>
        <v>0.005611051135173731</v>
      </c>
      <c r="L73" s="82">
        <f>SUM(L18:L22)/Loans!L19</f>
        <v>0.0043304421615510775</v>
      </c>
      <c r="M73" s="82">
        <f>SUM(M18:M22)/Loans!M19</f>
        <v>0.003290922080580944</v>
      </c>
      <c r="N73" s="82">
        <f>SUM(N18:N22)/Loans!N19</f>
        <v>0.002064263480969032</v>
      </c>
      <c r="O73" s="47"/>
    </row>
    <row r="74" spans="2:15" ht="15">
      <c r="B74" s="2" t="str">
        <f>B26</f>
        <v>US Recoveries:</v>
      </c>
      <c r="C74" s="46"/>
      <c r="D74" s="46"/>
      <c r="E74" s="65"/>
      <c r="F74" s="25"/>
      <c r="G74" s="25"/>
      <c r="H74" s="25"/>
      <c r="I74" s="25"/>
      <c r="J74" s="46"/>
      <c r="K74" s="46"/>
      <c r="L74" s="46"/>
      <c r="M74" s="46"/>
      <c r="N74" s="46"/>
      <c r="O74" s="47"/>
    </row>
    <row r="75" spans="2:15" ht="15">
      <c r="B75" s="4" t="str">
        <f aca="true" t="shared" si="16" ref="B75:B89">B27</f>
        <v>Commercial and Industrial:</v>
      </c>
      <c r="C75" s="46"/>
      <c r="D75" s="46"/>
      <c r="E75" s="75">
        <f>E27/Loans!E7</f>
        <v>-0.002524209463490752</v>
      </c>
      <c r="F75" s="75">
        <f>F27/Loans!F7</f>
        <v>-0.0018350515463917527</v>
      </c>
      <c r="G75" s="75">
        <f>G27/Loans!G7</f>
        <v>-0.0006849217334227536</v>
      </c>
      <c r="H75" s="75">
        <f>H27/Loans!H7</f>
        <v>-0.0008091378636063274</v>
      </c>
      <c r="I75" s="76">
        <f>I27/Loans!I7</f>
        <v>-0.001036918200849099</v>
      </c>
      <c r="J75" s="77">
        <v>-0.001</v>
      </c>
      <c r="K75" s="77">
        <v>-0.001</v>
      </c>
      <c r="L75" s="77">
        <v>-0.0015</v>
      </c>
      <c r="M75" s="77">
        <v>-0.002</v>
      </c>
      <c r="N75" s="77">
        <v>-0.002</v>
      </c>
      <c r="O75" s="47"/>
    </row>
    <row r="76" spans="2:15" ht="15">
      <c r="B76" s="4" t="str">
        <f t="shared" si="16"/>
        <v>Real Estate:</v>
      </c>
      <c r="C76" s="46"/>
      <c r="D76" s="46"/>
      <c r="E76" s="75">
        <f>E28/Loans!E8</f>
        <v>-0.00024235080278703423</v>
      </c>
      <c r="F76" s="75">
        <f>F28/Loans!F8</f>
        <v>-0.0002216434864520419</v>
      </c>
      <c r="G76" s="75">
        <f>G28/Loans!G8</f>
        <v>-6.258997308631157E-05</v>
      </c>
      <c r="H76" s="75">
        <f>H28/Loans!H8</f>
        <v>-8.078849571820973E-05</v>
      </c>
      <c r="I76" s="76">
        <f>I28/Loans!I8</f>
        <v>-0.00021830089139530652</v>
      </c>
      <c r="J76" s="75">
        <f aca="true" t="shared" si="17" ref="J76:N78">I76</f>
        <v>-0.00021830089139530652</v>
      </c>
      <c r="K76" s="75">
        <f t="shared" si="17"/>
        <v>-0.00021830089139530652</v>
      </c>
      <c r="L76" s="75">
        <f t="shared" si="17"/>
        <v>-0.00021830089139530652</v>
      </c>
      <c r="M76" s="75">
        <f t="shared" si="17"/>
        <v>-0.00021830089139530652</v>
      </c>
      <c r="N76" s="75">
        <f t="shared" si="17"/>
        <v>-0.00021830089139530652</v>
      </c>
      <c r="O76" s="47"/>
    </row>
    <row r="77" spans="2:15" ht="15">
      <c r="B77" s="4" t="str">
        <f t="shared" si="16"/>
        <v>Financial Institutions</v>
      </c>
      <c r="C77" s="46"/>
      <c r="D77" s="46"/>
      <c r="E77" s="75">
        <f>E29/Loans!E9</f>
        <v>-0.0004385644324245304</v>
      </c>
      <c r="F77" s="75">
        <f>F29/Loans!F9</f>
        <v>-0.00025588536335721597</v>
      </c>
      <c r="G77" s="75">
        <f>G29/Loans!G9</f>
        <v>-0.00019850459868986966</v>
      </c>
      <c r="H77" s="75">
        <f>H29/Loans!H9</f>
        <v>-9.545172528993462E-05</v>
      </c>
      <c r="I77" s="76">
        <f>I29/Loans!I9</f>
        <v>-0.0002212878955521133</v>
      </c>
      <c r="J77" s="75">
        <f t="shared" si="17"/>
        <v>-0.0002212878955521133</v>
      </c>
      <c r="K77" s="75">
        <f t="shared" si="17"/>
        <v>-0.0002212878955521133</v>
      </c>
      <c r="L77" s="75">
        <f t="shared" si="17"/>
        <v>-0.0002212878955521133</v>
      </c>
      <c r="M77" s="75">
        <f t="shared" si="17"/>
        <v>-0.0002212878955521133</v>
      </c>
      <c r="N77" s="75">
        <f t="shared" si="17"/>
        <v>-0.0002212878955521133</v>
      </c>
      <c r="O77" s="47"/>
    </row>
    <row r="78" spans="2:15" ht="15">
      <c r="B78" s="4" t="str">
        <f t="shared" si="16"/>
        <v>Government Agencies:</v>
      </c>
      <c r="C78" s="46"/>
      <c r="D78" s="46"/>
      <c r="E78" s="75">
        <f>E30/Loans!E10</f>
        <v>0</v>
      </c>
      <c r="F78" s="75">
        <f>F30/Loans!F10</f>
        <v>0</v>
      </c>
      <c r="G78" s="75">
        <f>G30/Loans!G10</f>
        <v>0</v>
      </c>
      <c r="H78" s="75">
        <f>H30/Loans!H10</f>
        <v>0</v>
      </c>
      <c r="I78" s="76">
        <f>I30/Loans!I10</f>
        <v>0</v>
      </c>
      <c r="J78" s="75">
        <f t="shared" si="17"/>
        <v>0</v>
      </c>
      <c r="K78" s="75">
        <f t="shared" si="17"/>
        <v>0</v>
      </c>
      <c r="L78" s="75">
        <f t="shared" si="17"/>
        <v>0</v>
      </c>
      <c r="M78" s="75">
        <f t="shared" si="17"/>
        <v>0</v>
      </c>
      <c r="N78" s="75">
        <f t="shared" si="17"/>
        <v>0</v>
      </c>
      <c r="O78" s="47"/>
    </row>
    <row r="79" spans="2:15" ht="15">
      <c r="B79" s="4" t="str">
        <f t="shared" si="16"/>
        <v>Other:</v>
      </c>
      <c r="C79" s="46"/>
      <c r="D79" s="46"/>
      <c r="E79" s="75">
        <f>E31/Loans!E11</f>
        <v>-0.0013297872340425532</v>
      </c>
      <c r="F79" s="75">
        <f>F31/Loans!F11</f>
        <v>-0.0014833585710312433</v>
      </c>
      <c r="G79" s="75">
        <f>G31/Loans!G11</f>
        <v>-0.0015202189115232593</v>
      </c>
      <c r="H79" s="75">
        <f>H31/Loans!H11</f>
        <v>-0.0012153723649469847</v>
      </c>
      <c r="I79" s="76">
        <f>I31/Loans!I11</f>
        <v>-0.0010499349040359498</v>
      </c>
      <c r="J79" s="77">
        <v>-0.001</v>
      </c>
      <c r="K79" s="77">
        <v>-0.0012</v>
      </c>
      <c r="L79" s="77">
        <v>-0.0013</v>
      </c>
      <c r="M79" s="77">
        <v>-0.0014</v>
      </c>
      <c r="N79" s="77">
        <v>-0.0015</v>
      </c>
      <c r="O79" s="47"/>
    </row>
    <row r="80" spans="2:15" ht="15">
      <c r="B80" s="4" t="str">
        <f t="shared" si="16"/>
        <v>Consumer:</v>
      </c>
      <c r="C80" s="46"/>
      <c r="D80" s="46"/>
      <c r="E80" s="75">
        <f>E56/E54</f>
        <v>-0.0026687779004374865</v>
      </c>
      <c r="F80" s="75">
        <f>F56/F54</f>
        <v>-0.0021176745661940313</v>
      </c>
      <c r="G80" s="75">
        <f>G56/G54</f>
        <v>-0.002337592801781272</v>
      </c>
      <c r="H80" s="75">
        <f>H56/H54</f>
        <v>-0.0016775257117058158</v>
      </c>
      <c r="I80" s="76">
        <f>I56/I54</f>
        <v>-0.002233957552477037</v>
      </c>
      <c r="J80" s="77">
        <v>-0.0022</v>
      </c>
      <c r="K80" s="77">
        <v>-0.0023</v>
      </c>
      <c r="L80" s="77">
        <v>-0.0024</v>
      </c>
      <c r="M80" s="77">
        <v>-0.0025</v>
      </c>
      <c r="N80" s="77">
        <v>-0.0026</v>
      </c>
      <c r="O80" s="47"/>
    </row>
    <row r="81" spans="2:15" ht="15">
      <c r="B81" s="26" t="str">
        <f t="shared" si="16"/>
        <v>Total US Recoveries:</v>
      </c>
      <c r="C81" s="64"/>
      <c r="D81" s="64"/>
      <c r="E81" s="82">
        <f>(SUM(E27:E31)+E56)/(Loans!E12+Loans!E33)</f>
        <v>-0.0023195889814275443</v>
      </c>
      <c r="F81" s="82">
        <f>(SUM(F27:F31)+F56)/(Loans!F12+Loans!F33)</f>
        <v>-0.0018633198667212028</v>
      </c>
      <c r="G81" s="82">
        <f>(SUM(G27:G31)+G56)/(Loans!G12+Loans!G33)</f>
        <v>-0.0018382394761927512</v>
      </c>
      <c r="H81" s="82">
        <f>(SUM(H27:H31)+H56)/(Loans!H12+Loans!H33)</f>
        <v>-0.0013529859773307648</v>
      </c>
      <c r="I81" s="82">
        <f>(SUM(I27:I31)+I56)/(Loans!I12+Loans!I33)</f>
        <v>-0.0018189111430784552</v>
      </c>
      <c r="J81" s="82">
        <f>(SUM(J27:J31)+J56)/(Loans!J12+Loans!J33)</f>
        <v>-0.0017891857605508443</v>
      </c>
      <c r="K81" s="82">
        <f>(SUM(K27:K31)+K56)/(Loans!K12+Loans!K33)</f>
        <v>-0.0018727126652078705</v>
      </c>
      <c r="L81" s="82">
        <f>(SUM(L27:L31)+L56)/(Loans!L12+Loans!L33)</f>
        <v>-0.001996125977139694</v>
      </c>
      <c r="M81" s="82">
        <f>(SUM(M27:M31)+M56)/(Loans!M12+Loans!M33)</f>
        <v>-0.0021205442612000427</v>
      </c>
      <c r="N81" s="82">
        <f>(SUM(N27:N31)+N56)/(Loans!N12+Loans!N33)</f>
        <v>-0.0022007451253242233</v>
      </c>
      <c r="O81" s="47"/>
    </row>
    <row r="82" spans="2:15" ht="15">
      <c r="B82" s="2" t="str">
        <f t="shared" si="16"/>
        <v>Non-US Recoveries:</v>
      </c>
      <c r="C82" s="46"/>
      <c r="D82" s="46"/>
      <c r="E82" s="65"/>
      <c r="F82" s="25"/>
      <c r="G82" s="25"/>
      <c r="H82" s="25"/>
      <c r="I82" s="25"/>
      <c r="J82" s="46"/>
      <c r="K82" s="46"/>
      <c r="L82" s="46"/>
      <c r="M82" s="46"/>
      <c r="N82" s="46"/>
      <c r="O82" s="47"/>
    </row>
    <row r="83" spans="2:15" ht="15">
      <c r="B83" s="4" t="str">
        <f t="shared" si="16"/>
        <v>Commercial and Industrial:</v>
      </c>
      <c r="C83" s="46"/>
      <c r="D83" s="46"/>
      <c r="E83" s="75">
        <f>E35/Loans!E14</f>
        <v>-0.006578592612564034</v>
      </c>
      <c r="F83" s="75">
        <f>F35/Loans!F14</f>
        <v>-0.0011618553936902315</v>
      </c>
      <c r="G83" s="75">
        <f>G35/Loans!G14</f>
        <v>-0.00023648349049631973</v>
      </c>
      <c r="H83" s="75">
        <f>H35/Loans!H14</f>
        <v>-0.00045337338131534955</v>
      </c>
      <c r="I83" s="76">
        <f>I35/Loans!I14</f>
        <v>-4.953437685753913E-05</v>
      </c>
      <c r="J83" s="75">
        <f>I83</f>
        <v>-4.953437685753913E-05</v>
      </c>
      <c r="K83" s="75">
        <f>J83</f>
        <v>-4.953437685753913E-05</v>
      </c>
      <c r="L83" s="75">
        <f>K83</f>
        <v>-4.953437685753913E-05</v>
      </c>
      <c r="M83" s="75">
        <f>L83</f>
        <v>-4.953437685753913E-05</v>
      </c>
      <c r="N83" s="75">
        <f>M83</f>
        <v>-4.953437685753913E-05</v>
      </c>
      <c r="O83" s="47"/>
    </row>
    <row r="84" spans="2:15" ht="15">
      <c r="B84" s="4" t="str">
        <f t="shared" si="16"/>
        <v>Real Estate:</v>
      </c>
      <c r="C84" s="46"/>
      <c r="D84" s="46"/>
      <c r="E84" s="75">
        <f>E36/Loans!E15</f>
        <v>0</v>
      </c>
      <c r="F84" s="75">
        <f>F36/Loans!F15</f>
        <v>0</v>
      </c>
      <c r="G84" s="75">
        <f>G36/Loans!G15</f>
        <v>0</v>
      </c>
      <c r="H84" s="75">
        <f>H36/Loans!H15</f>
        <v>0</v>
      </c>
      <c r="I84" s="76">
        <f>I36/Loans!I15</f>
        <v>0</v>
      </c>
      <c r="J84" s="75">
        <f aca="true" t="shared" si="18" ref="J84:N88">I84</f>
        <v>0</v>
      </c>
      <c r="K84" s="75">
        <f t="shared" si="18"/>
        <v>0</v>
      </c>
      <c r="L84" s="75">
        <f t="shared" si="18"/>
        <v>0</v>
      </c>
      <c r="M84" s="75">
        <f t="shared" si="18"/>
        <v>0</v>
      </c>
      <c r="N84" s="75">
        <f t="shared" si="18"/>
        <v>0</v>
      </c>
      <c r="O84" s="47"/>
    </row>
    <row r="85" spans="2:15" ht="15">
      <c r="B85" s="4" t="str">
        <f t="shared" si="16"/>
        <v>Financial Institutions</v>
      </c>
      <c r="C85" s="46"/>
      <c r="D85" s="46"/>
      <c r="E85" s="75">
        <f>E37/Loans!E16</f>
        <v>-0.000864945014209811</v>
      </c>
      <c r="F85" s="75">
        <f>F37/Loans!F16</f>
        <v>-0.0005736935433399395</v>
      </c>
      <c r="G85" s="75">
        <f>G37/Loans!G16</f>
        <v>-5.798782255726298E-05</v>
      </c>
      <c r="H85" s="75">
        <f>H37/Loans!H16</f>
        <v>0</v>
      </c>
      <c r="I85" s="76">
        <f>I37/Loans!I16</f>
        <v>0</v>
      </c>
      <c r="J85" s="75">
        <f t="shared" si="18"/>
        <v>0</v>
      </c>
      <c r="K85" s="75">
        <f t="shared" si="18"/>
        <v>0</v>
      </c>
      <c r="L85" s="75">
        <f t="shared" si="18"/>
        <v>0</v>
      </c>
      <c r="M85" s="75">
        <f t="shared" si="18"/>
        <v>0</v>
      </c>
      <c r="N85" s="75">
        <f t="shared" si="18"/>
        <v>0</v>
      </c>
      <c r="O85" s="47"/>
    </row>
    <row r="86" spans="2:15" ht="15">
      <c r="B86" s="4" t="str">
        <f t="shared" si="16"/>
        <v>Government Agencies:</v>
      </c>
      <c r="C86" s="46"/>
      <c r="D86" s="46"/>
      <c r="E86" s="75">
        <f>E38/Loans!E17</f>
        <v>-0.011574074074074073</v>
      </c>
      <c r="F86" s="75">
        <f>F38/Loans!F17</f>
        <v>0</v>
      </c>
      <c r="G86" s="75">
        <f>G38/Loans!G17</f>
        <v>0</v>
      </c>
      <c r="H86" s="75">
        <f>H38/Loans!H17</f>
        <v>0</v>
      </c>
      <c r="I86" s="76">
        <f>I38/Loans!I17</f>
        <v>0</v>
      </c>
      <c r="J86" s="75">
        <f t="shared" si="18"/>
        <v>0</v>
      </c>
      <c r="K86" s="75">
        <f t="shared" si="18"/>
        <v>0</v>
      </c>
      <c r="L86" s="75">
        <f t="shared" si="18"/>
        <v>0</v>
      </c>
      <c r="M86" s="75">
        <f t="shared" si="18"/>
        <v>0</v>
      </c>
      <c r="N86" s="75">
        <f t="shared" si="18"/>
        <v>0</v>
      </c>
      <c r="O86" s="47"/>
    </row>
    <row r="87" spans="2:15" ht="15">
      <c r="B87" s="4" t="str">
        <f t="shared" si="16"/>
        <v>Other:</v>
      </c>
      <c r="C87" s="46"/>
      <c r="D87" s="46"/>
      <c r="E87" s="75">
        <f>E39/Loans!E18</f>
        <v>-0.0025232251404977636</v>
      </c>
      <c r="F87" s="75">
        <f>F39/Loans!F18</f>
        <v>-0.0013951491736424126</v>
      </c>
      <c r="G87" s="75">
        <f>G39/Loans!G18</f>
        <v>-0.000491863753740214</v>
      </c>
      <c r="H87" s="75">
        <f>H39/Loans!H18</f>
        <v>-0.0003681885125184094</v>
      </c>
      <c r="I87" s="76">
        <f>I39/Loans!I18</f>
        <v>0</v>
      </c>
      <c r="J87" s="75">
        <f t="shared" si="18"/>
        <v>0</v>
      </c>
      <c r="K87" s="75">
        <f t="shared" si="18"/>
        <v>0</v>
      </c>
      <c r="L87" s="75">
        <f t="shared" si="18"/>
        <v>0</v>
      </c>
      <c r="M87" s="75">
        <f t="shared" si="18"/>
        <v>0</v>
      </c>
      <c r="N87" s="75">
        <f t="shared" si="18"/>
        <v>0</v>
      </c>
      <c r="O87" s="47"/>
    </row>
    <row r="88" spans="2:15" ht="15">
      <c r="B88" s="4" t="str">
        <f t="shared" si="16"/>
        <v>Consumer:</v>
      </c>
      <c r="C88" s="46"/>
      <c r="D88" s="46"/>
      <c r="E88" s="77">
        <v>0</v>
      </c>
      <c r="F88" s="75">
        <f>E88</f>
        <v>0</v>
      </c>
      <c r="G88" s="75">
        <f>F88</f>
        <v>0</v>
      </c>
      <c r="H88" s="75">
        <f>G88</f>
        <v>0</v>
      </c>
      <c r="I88" s="76">
        <f>H88</f>
        <v>0</v>
      </c>
      <c r="J88" s="75">
        <f t="shared" si="18"/>
        <v>0</v>
      </c>
      <c r="K88" s="75">
        <f t="shared" si="18"/>
        <v>0</v>
      </c>
      <c r="L88" s="75">
        <f t="shared" si="18"/>
        <v>0</v>
      </c>
      <c r="M88" s="75">
        <f t="shared" si="18"/>
        <v>0</v>
      </c>
      <c r="N88" s="75">
        <f t="shared" si="18"/>
        <v>0</v>
      </c>
      <c r="O88" s="47"/>
    </row>
    <row r="89" spans="2:15" ht="15">
      <c r="B89" s="26" t="str">
        <f t="shared" si="16"/>
        <v>Total Non-US Recoveries:</v>
      </c>
      <c r="C89" s="64"/>
      <c r="D89" s="64"/>
      <c r="E89" s="82">
        <f>SUM(E35:E39)/Loans!E19</f>
        <v>-0.004363139357619723</v>
      </c>
      <c r="F89" s="82">
        <f>SUM(F35:F39)/Loans!F19</f>
        <v>-0.0009683964584358091</v>
      </c>
      <c r="G89" s="82">
        <f>SUM(G35:G39)/Loans!G19</f>
        <v>-0.0002630820690778347</v>
      </c>
      <c r="H89" s="82">
        <f>SUM(H35:H39)/Loans!H19</f>
        <v>-0.000305574746240102</v>
      </c>
      <c r="I89" s="82">
        <f>SUM(I35:I39)/Loans!I19</f>
        <v>-1.815211472136504E-05</v>
      </c>
      <c r="J89" s="82">
        <f>SUM(J35:J39)/Loans!J19</f>
        <v>-1.832532133237871E-05</v>
      </c>
      <c r="K89" s="82">
        <f>SUM(K35:K39)/Loans!K19</f>
        <v>-1.851859307808442E-05</v>
      </c>
      <c r="L89" s="82">
        <f>SUM(L35:L39)/Loans!L19</f>
        <v>-1.8740256204643035E-05</v>
      </c>
      <c r="M89" s="82">
        <f>SUM(M35:M39)/Loans!M19</f>
        <v>-1.8797868572502448E-05</v>
      </c>
      <c r="N89" s="82">
        <f>SUM(N35:N39)/Loans!N19</f>
        <v>-1.8851930174001042E-05</v>
      </c>
      <c r="O89" s="47"/>
    </row>
    <row r="90" spans="2:15" ht="15">
      <c r="B90" s="2"/>
      <c r="C90" s="46"/>
      <c r="D90" s="46"/>
      <c r="E90" s="65"/>
      <c r="F90" s="25"/>
      <c r="G90" s="25"/>
      <c r="H90" s="25"/>
      <c r="I90" s="25"/>
      <c r="J90" s="46"/>
      <c r="K90" s="46"/>
      <c r="L90" s="46"/>
      <c r="M90" s="46"/>
      <c r="N90" s="46"/>
      <c r="O90" s="47"/>
    </row>
    <row r="91" spans="2:15" ht="15">
      <c r="B91" s="4" t="s">
        <v>19</v>
      </c>
      <c r="C91" s="46"/>
      <c r="D91" s="46"/>
      <c r="E91" s="83">
        <f>Loans!E26</f>
        <v>150111</v>
      </c>
      <c r="F91" s="83">
        <f>Loans!F26</f>
        <v>183742</v>
      </c>
      <c r="G91" s="83">
        <f>Loans!G26</f>
        <v>213076</v>
      </c>
      <c r="H91" s="83">
        <f>Loans!H26</f>
        <v>262044</v>
      </c>
      <c r="I91" s="83">
        <f>Loans!I26</f>
        <v>204175</v>
      </c>
      <c r="J91" s="83">
        <f>Loans!J26</f>
        <v>220787.09999999998</v>
      </c>
      <c r="K91" s="83">
        <f>Loans!K26</f>
        <v>235862.00625000003</v>
      </c>
      <c r="L91" s="83">
        <f>Loans!L26</f>
        <v>251728.22240625002</v>
      </c>
      <c r="M91" s="83">
        <f>Loans!M26</f>
        <v>263203.0636640625</v>
      </c>
      <c r="N91" s="83">
        <f>Loans!N26</f>
        <v>275045.78393226565</v>
      </c>
      <c r="O91" s="47"/>
    </row>
    <row r="92" spans="2:15" ht="15">
      <c r="B92" s="4" t="s">
        <v>20</v>
      </c>
      <c r="C92" s="46"/>
      <c r="D92" s="46"/>
      <c r="E92" s="83">
        <f>Loans!E33</f>
        <v>269037</v>
      </c>
      <c r="F92" s="83">
        <f>Loans!F33</f>
        <v>299385</v>
      </c>
      <c r="G92" s="83">
        <f>Loans!G33</f>
        <v>306298</v>
      </c>
      <c r="H92" s="83">
        <f>Loans!H33</f>
        <v>482854</v>
      </c>
      <c r="I92" s="83">
        <f>Loans!I33</f>
        <v>429283</v>
      </c>
      <c r="J92" s="83">
        <f>Loans!J33</f>
        <v>468572.05</v>
      </c>
      <c r="K92" s="83">
        <f>Loans!K33</f>
        <v>504104.26625</v>
      </c>
      <c r="L92" s="83">
        <f>Loans!L33</f>
        <v>540107.9801875</v>
      </c>
      <c r="M92" s="83">
        <f>Loans!M33</f>
        <v>567678.675371875</v>
      </c>
      <c r="N92" s="83">
        <f>Loans!N33</f>
        <v>596718.6217960938</v>
      </c>
      <c r="O92" s="47"/>
    </row>
    <row r="93" spans="2:15" ht="15">
      <c r="B93" s="84" t="s">
        <v>66</v>
      </c>
      <c r="C93" s="46"/>
      <c r="D93" s="46"/>
      <c r="E93" s="24">
        <f>E94+E43</f>
        <v>422967</v>
      </c>
      <c r="F93" s="24">
        <f>F94+F43</f>
        <v>486169</v>
      </c>
      <c r="G93" s="24">
        <f>G94+G43</f>
        <v>523912</v>
      </c>
      <c r="H93" s="24">
        <f>H94+H43</f>
        <v>754733</v>
      </c>
      <c r="I93" s="24">
        <f>I94+I43</f>
        <v>656423</v>
      </c>
      <c r="J93" s="24">
        <f>SUM(J91:J92)</f>
        <v>689359.1499999999</v>
      </c>
      <c r="K93" s="24">
        <f>SUM(K91:K92)</f>
        <v>739966.2725</v>
      </c>
      <c r="L93" s="24">
        <f>SUM(L91:L92)</f>
        <v>791836.2025937501</v>
      </c>
      <c r="M93" s="24">
        <f>SUM(M91:M92)</f>
        <v>830881.7390359375</v>
      </c>
      <c r="N93" s="24">
        <f>SUM(N91:N92)</f>
        <v>871764.4057283595</v>
      </c>
      <c r="O93" s="47"/>
    </row>
    <row r="94" spans="2:15" ht="15">
      <c r="B94" s="84" t="s">
        <v>67</v>
      </c>
      <c r="C94" s="46"/>
      <c r="D94" s="46"/>
      <c r="E94" s="24">
        <f>SUM(E91:E92)</f>
        <v>419148</v>
      </c>
      <c r="F94" s="24">
        <f>SUM(F91:F92)</f>
        <v>483127</v>
      </c>
      <c r="G94" s="24">
        <f>SUM(G91:G92)</f>
        <v>519374</v>
      </c>
      <c r="H94" s="24">
        <f>SUM(H91:H92)</f>
        <v>744898</v>
      </c>
      <c r="I94" s="24">
        <f>SUM(I91:I92)</f>
        <v>633458</v>
      </c>
      <c r="J94" s="24">
        <f>J93-SUM($J$43:J43)</f>
        <v>673297.0510849999</v>
      </c>
      <c r="K94" s="24">
        <f>K93-SUM($J$43:K43)</f>
        <v>708442.305640375</v>
      </c>
      <c r="L94" s="24">
        <f>L93-SUM($J$43:L43)</f>
        <v>746811.7031632689</v>
      </c>
      <c r="M94" s="24">
        <f>M93-SUM($J$43:M43)</f>
        <v>775058.75121572</v>
      </c>
      <c r="N94" s="24">
        <f>N93-SUM($J$43:N43)</f>
        <v>808091.0600279805</v>
      </c>
      <c r="O94" s="47"/>
    </row>
    <row r="95" spans="2:15" ht="15">
      <c r="B95" s="11" t="s">
        <v>68</v>
      </c>
      <c r="C95" s="46"/>
      <c r="D95" s="46"/>
      <c r="E95" s="85">
        <v>409988</v>
      </c>
      <c r="F95" s="85">
        <v>454535</v>
      </c>
      <c r="G95" s="85">
        <v>479679</v>
      </c>
      <c r="H95" s="85">
        <v>588801</v>
      </c>
      <c r="I95" s="86">
        <v>682885</v>
      </c>
      <c r="J95" s="79">
        <f>AVERAGE(I94,J94)</f>
        <v>653377.5255425</v>
      </c>
      <c r="K95" s="79">
        <f>AVERAGE(J94,K94)</f>
        <v>690869.6783626875</v>
      </c>
      <c r="L95" s="79">
        <f>AVERAGE(K94,L94)</f>
        <v>727627.0044018219</v>
      </c>
      <c r="M95" s="79">
        <f>AVERAGE(L94,M94)</f>
        <v>760935.2271894944</v>
      </c>
      <c r="N95" s="79">
        <f>AVERAGE(M94,N94)</f>
        <v>791574.9056218502</v>
      </c>
      <c r="O95" s="47"/>
    </row>
    <row r="96" spans="2:15" ht="15">
      <c r="B96" s="2"/>
      <c r="C96" s="46"/>
      <c r="D96" s="46"/>
      <c r="E96" s="65"/>
      <c r="F96" s="25"/>
      <c r="G96" s="80"/>
      <c r="H96" s="25"/>
      <c r="I96" s="25"/>
      <c r="J96" s="46"/>
      <c r="K96" s="46"/>
      <c r="L96" s="46"/>
      <c r="M96" s="46"/>
      <c r="N96" s="46"/>
      <c r="O96" s="47"/>
    </row>
    <row r="97" spans="2:15" ht="15">
      <c r="B97" s="3" t="s">
        <v>69</v>
      </c>
      <c r="C97" s="48"/>
      <c r="D97" s="48"/>
      <c r="E97" s="87"/>
      <c r="F97" s="32"/>
      <c r="G97" s="32"/>
      <c r="H97" s="32"/>
      <c r="I97" s="32"/>
      <c r="J97" s="48"/>
      <c r="K97" s="48"/>
      <c r="L97" s="48"/>
      <c r="M97" s="48"/>
      <c r="N97" s="48"/>
      <c r="O97" s="47"/>
    </row>
    <row r="98" spans="2:15" ht="15">
      <c r="B98" s="4" t="s">
        <v>70</v>
      </c>
      <c r="C98" s="46"/>
      <c r="D98" s="46"/>
      <c r="E98" s="75">
        <f>E43/E95</f>
        <v>0.00931490677775935</v>
      </c>
      <c r="F98" s="75">
        <f aca="true" t="shared" si="19" ref="F98:N98">F43/F95</f>
        <v>0.006692553928740361</v>
      </c>
      <c r="G98" s="75">
        <f t="shared" si="19"/>
        <v>0.00946049337160893</v>
      </c>
      <c r="H98" s="75">
        <f t="shared" si="19"/>
        <v>0.01670343630530519</v>
      </c>
      <c r="I98" s="76">
        <f t="shared" si="19"/>
        <v>0.033629381228171655</v>
      </c>
      <c r="J98" s="75">
        <f t="shared" si="19"/>
        <v>0.024583182443662456</v>
      </c>
      <c r="K98" s="75">
        <f t="shared" si="19"/>
        <v>0.02238029606577689</v>
      </c>
      <c r="L98" s="75">
        <f t="shared" si="19"/>
        <v>0.018554193960894794</v>
      </c>
      <c r="M98" s="75">
        <f t="shared" si="19"/>
        <v>0.014191074356775862</v>
      </c>
      <c r="N98" s="75">
        <f t="shared" si="19"/>
        <v>0.009917391044621852</v>
      </c>
      <c r="O98" s="47"/>
    </row>
    <row r="99" spans="2:15" ht="15">
      <c r="B99" s="4" t="s">
        <v>71</v>
      </c>
      <c r="C99" s="46"/>
      <c r="D99" s="46"/>
      <c r="E99" s="75">
        <f>E43/E47</f>
        <v>0.5386459802538787</v>
      </c>
      <c r="F99" s="75">
        <f aca="true" t="shared" si="20" ref="F99:N99">F43/F47</f>
        <v>0.41791454870174477</v>
      </c>
      <c r="G99" s="75">
        <f t="shared" si="20"/>
        <v>0.4914446610353043</v>
      </c>
      <c r="H99" s="75">
        <f t="shared" si="20"/>
        <v>0.42458124676221726</v>
      </c>
      <c r="I99" s="76">
        <f t="shared" si="20"/>
        <v>0.726694513005506</v>
      </c>
      <c r="J99" s="75">
        <f t="shared" si="20"/>
        <v>0.4888872181599469</v>
      </c>
      <c r="K99" s="75">
        <f t="shared" si="20"/>
        <v>0.5570723586661618</v>
      </c>
      <c r="L99" s="75">
        <f t="shared" si="20"/>
        <v>0.627018335871286</v>
      </c>
      <c r="M99" s="75">
        <f t="shared" si="20"/>
        <v>0.6419909056703981</v>
      </c>
      <c r="N99" s="75">
        <f t="shared" si="20"/>
        <v>0.5409943246103275</v>
      </c>
      <c r="O99" s="47"/>
    </row>
    <row r="100" spans="2:15" ht="15">
      <c r="B100" s="4" t="s">
        <v>72</v>
      </c>
      <c r="C100" s="46"/>
      <c r="D100" s="46"/>
      <c r="E100" s="75">
        <f>E47/E94</f>
        <v>0.016915266206685944</v>
      </c>
      <c r="F100" s="75">
        <f aca="true" t="shared" si="21" ref="F100:N100">F47/F94</f>
        <v>0.015066431807785531</v>
      </c>
      <c r="G100" s="75">
        <f t="shared" si="21"/>
        <v>0.017779095603553507</v>
      </c>
      <c r="H100" s="75">
        <f t="shared" si="21"/>
        <v>0.03109687500839041</v>
      </c>
      <c r="I100" s="76">
        <f t="shared" si="21"/>
        <v>0.049888074663197876</v>
      </c>
      <c r="J100" s="75">
        <f t="shared" si="21"/>
        <v>0.04879630091789688</v>
      </c>
      <c r="K100" s="75">
        <f t="shared" si="21"/>
        <v>0.03917832478624033</v>
      </c>
      <c r="L100" s="75">
        <f t="shared" si="21"/>
        <v>0.02883098929041062</v>
      </c>
      <c r="M100" s="75">
        <f t="shared" si="21"/>
        <v>0.02170198532337025</v>
      </c>
      <c r="N100" s="75">
        <f t="shared" si="21"/>
        <v>0.017957110059257687</v>
      </c>
      <c r="O100" s="47"/>
    </row>
    <row r="101" spans="2:15" ht="15">
      <c r="B101" s="88" t="s">
        <v>73</v>
      </c>
      <c r="C101" s="48"/>
      <c r="D101" s="48"/>
      <c r="E101" s="89" t="s">
        <v>77</v>
      </c>
      <c r="F101" s="90">
        <f>F43/E8</f>
        <v>0.850909090909091</v>
      </c>
      <c r="G101" s="90">
        <f aca="true" t="shared" si="22" ref="G101:N101">G43/F8</f>
        <v>1.4392641928322232</v>
      </c>
      <c r="H101" s="90">
        <f t="shared" si="22"/>
        <v>1.5042826552462527</v>
      </c>
      <c r="I101" s="91">
        <f t="shared" si="22"/>
        <v>1.081367424777511</v>
      </c>
      <c r="J101" s="90">
        <f t="shared" si="22"/>
        <v>0.5061319966913503</v>
      </c>
      <c r="K101" s="90">
        <f t="shared" si="22"/>
        <v>0.8930008947079355</v>
      </c>
      <c r="L101" s="90">
        <f t="shared" si="22"/>
        <v>1.3027572824686287</v>
      </c>
      <c r="M101" s="90">
        <f t="shared" si="22"/>
        <v>1.4840692173888772</v>
      </c>
      <c r="N101" s="90">
        <f t="shared" si="22"/>
        <v>1.2895903619084526</v>
      </c>
      <c r="O101" s="49"/>
    </row>
  </sheetData>
  <sheetProtection/>
  <printOptions/>
  <pageMargins left="0.7" right="0.7" top="0.75" bottom="0.75" header="0.3" footer="0.3"/>
  <pageSetup fitToHeight="2" fitToWidth="1" horizontalDpi="300" verticalDpi="3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5"/>
  <sheetViews>
    <sheetView tabSelected="1" zoomScalePageLayoutView="0" workbookViewId="0" topLeftCell="A286">
      <selection activeCell="B288" sqref="B288"/>
    </sheetView>
  </sheetViews>
  <sheetFormatPr defaultColWidth="9.140625" defaultRowHeight="15"/>
  <cols>
    <col min="1" max="1" width="2.7109375" style="0" customWidth="1"/>
    <col min="4" max="4" width="10.140625" style="0" customWidth="1"/>
    <col min="5" max="14" width="11.57421875" style="0" customWidth="1"/>
    <col min="15" max="15" width="2.7109375" style="0" customWidth="1"/>
  </cols>
  <sheetData>
    <row r="2" spans="2:15" ht="15">
      <c r="B2" s="42" t="str">
        <f>Company_Name&amp;" - Historical and Projected Balance Sheet"</f>
        <v>JPMorgan Chase &amp; Co. - Historical and Projected Balance Sheet</v>
      </c>
      <c r="C2" s="50"/>
      <c r="D2" s="50"/>
      <c r="E2" s="50"/>
      <c r="F2" s="50"/>
      <c r="G2" s="51"/>
      <c r="H2" s="51"/>
      <c r="I2" s="51"/>
      <c r="J2" s="51"/>
      <c r="K2" s="51"/>
      <c r="L2" s="51"/>
      <c r="M2" s="51"/>
      <c r="N2" s="51"/>
      <c r="O2" s="52"/>
    </row>
    <row r="3" spans="2:15" ht="15">
      <c r="B3" s="11" t="str">
        <f>Loans!$B$3</f>
        <v>($ in Millions)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ht="15">
      <c r="B4" s="11"/>
      <c r="C4" s="46"/>
      <c r="D4" s="46"/>
      <c r="E4" s="13" t="str">
        <f>LLRs!$E$4</f>
        <v>Historical</v>
      </c>
      <c r="F4" s="13"/>
      <c r="G4" s="13"/>
      <c r="H4" s="13"/>
      <c r="I4" s="13"/>
      <c r="J4" s="12" t="str">
        <f>LLRs!$J$4</f>
        <v>Projected</v>
      </c>
      <c r="K4" s="12"/>
      <c r="L4" s="12"/>
      <c r="M4" s="12"/>
      <c r="N4" s="12"/>
      <c r="O4" s="47"/>
    </row>
    <row r="5" spans="2:15" ht="15">
      <c r="B5" s="14" t="str">
        <f>Loans!$B$5</f>
        <v>December 31, </v>
      </c>
      <c r="C5" s="48"/>
      <c r="D5" s="48"/>
      <c r="E5" s="69">
        <f>Loans!$E$5</f>
        <v>2005</v>
      </c>
      <c r="F5" s="69">
        <f>Loans!$F$5</f>
        <v>2006</v>
      </c>
      <c r="G5" s="69">
        <f>Loans!$G$5</f>
        <v>2007</v>
      </c>
      <c r="H5" s="69">
        <f>Loans!$H$5</f>
        <v>2008</v>
      </c>
      <c r="I5" s="70">
        <f>Loans!$I$5</f>
        <v>2009</v>
      </c>
      <c r="J5" s="15">
        <f>Loans!$J$5</f>
        <v>2010</v>
      </c>
      <c r="K5" s="15">
        <f>Loans!$K$5</f>
        <v>2011</v>
      </c>
      <c r="L5" s="15">
        <f>Loans!$L$5</f>
        <v>2012</v>
      </c>
      <c r="M5" s="15">
        <f>Loans!$M$5</f>
        <v>2013</v>
      </c>
      <c r="N5" s="15">
        <f>Loans!$N$5</f>
        <v>2014</v>
      </c>
      <c r="O5" s="47"/>
    </row>
    <row r="6" spans="2:15" ht="15">
      <c r="B6" s="92" t="s">
        <v>78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47"/>
    </row>
    <row r="7" spans="2:15" ht="15">
      <c r="B7" s="4" t="s">
        <v>79</v>
      </c>
      <c r="C7" s="46"/>
      <c r="D7" s="46"/>
      <c r="E7" s="16">
        <v>36670</v>
      </c>
      <c r="F7" s="16">
        <v>40412</v>
      </c>
      <c r="G7" s="16">
        <v>40144</v>
      </c>
      <c r="H7" s="16">
        <v>26895</v>
      </c>
      <c r="I7" s="22">
        <v>26206</v>
      </c>
      <c r="J7" s="19">
        <f>J25*J55</f>
        <v>27295.826395337834</v>
      </c>
      <c r="K7" s="19">
        <f>K25*K55</f>
        <v>32625.63249659622</v>
      </c>
      <c r="L7" s="19">
        <f>L25*L55</f>
        <v>39829.957502041005</v>
      </c>
      <c r="M7" s="19">
        <f>M25*M55</f>
        <v>46503.525072943194</v>
      </c>
      <c r="N7" s="19">
        <f>N25*N55</f>
        <v>53872.737335198704</v>
      </c>
      <c r="O7" s="47"/>
    </row>
    <row r="8" spans="2:15" ht="15">
      <c r="B8" s="4" t="s">
        <v>80</v>
      </c>
      <c r="C8" s="46"/>
      <c r="D8" s="46"/>
      <c r="E8" s="17">
        <v>21661</v>
      </c>
      <c r="F8" s="17">
        <v>13547</v>
      </c>
      <c r="G8" s="17">
        <v>11466</v>
      </c>
      <c r="H8" s="17">
        <v>138139</v>
      </c>
      <c r="I8" s="23">
        <v>63230</v>
      </c>
      <c r="J8" s="20">
        <f>J25*J56</f>
        <v>59140.95718989865</v>
      </c>
      <c r="K8" s="20">
        <f>K25*K56</f>
        <v>55929.65570845066</v>
      </c>
      <c r="L8" s="20">
        <f>L25*L56</f>
        <v>49787.446877551265</v>
      </c>
      <c r="M8" s="20">
        <f>M25*M56</f>
        <v>41336.46673150506</v>
      </c>
      <c r="N8" s="20">
        <f>N25*N56</f>
        <v>32323.642401119218</v>
      </c>
      <c r="O8" s="47"/>
    </row>
    <row r="9" spans="2:15" ht="15">
      <c r="B9" s="4" t="s">
        <v>81</v>
      </c>
      <c r="C9" s="46"/>
      <c r="D9" s="46"/>
      <c r="E9" s="17">
        <v>133981</v>
      </c>
      <c r="F9" s="17">
        <v>140524</v>
      </c>
      <c r="G9" s="17">
        <v>170897</v>
      </c>
      <c r="H9" s="17">
        <v>203115</v>
      </c>
      <c r="I9" s="23">
        <v>195404</v>
      </c>
      <c r="J9" s="20">
        <f>I9+J77</f>
        <v>195404</v>
      </c>
      <c r="K9" s="20">
        <f>J9+K77</f>
        <v>213570.72446518205</v>
      </c>
      <c r="L9" s="20">
        <f>K9+L77</f>
        <v>257934.26050837757</v>
      </c>
      <c r="M9" s="20">
        <f>L9+M77</f>
        <v>257934.26050837757</v>
      </c>
      <c r="N9" s="20">
        <f>M9+N77</f>
        <v>257934.26050837757</v>
      </c>
      <c r="O9" s="47"/>
    </row>
    <row r="10" spans="2:15" ht="15">
      <c r="B10" s="4" t="s">
        <v>82</v>
      </c>
      <c r="C10" s="46"/>
      <c r="D10" s="46"/>
      <c r="E10" s="17">
        <v>74604</v>
      </c>
      <c r="F10" s="17">
        <v>73688</v>
      </c>
      <c r="G10" s="17">
        <v>84184</v>
      </c>
      <c r="H10" s="17">
        <v>124000</v>
      </c>
      <c r="I10" s="23">
        <v>119630</v>
      </c>
      <c r="J10" s="20">
        <f>J12*J57</f>
        <v>126136.49999999999</v>
      </c>
      <c r="K10" s="20">
        <f>K12*K57</f>
        <v>136948.2</v>
      </c>
      <c r="L10" s="20">
        <f>L12*L57</f>
        <v>146363.38874999998</v>
      </c>
      <c r="M10" s="20">
        <f>M12*M57</f>
        <v>162625.9875</v>
      </c>
      <c r="N10" s="20">
        <f>N12*N57</f>
        <v>187833.01556250002</v>
      </c>
      <c r="O10" s="47"/>
    </row>
    <row r="11" spans="2:15" ht="15">
      <c r="B11" s="4" t="s">
        <v>83</v>
      </c>
      <c r="C11" s="46"/>
      <c r="D11" s="46"/>
      <c r="E11" s="17">
        <v>298377</v>
      </c>
      <c r="F11" s="17">
        <v>365738</v>
      </c>
      <c r="G11" s="17">
        <v>491409</v>
      </c>
      <c r="H11" s="17">
        <v>509983</v>
      </c>
      <c r="I11" s="23">
        <v>411128</v>
      </c>
      <c r="J11" s="20">
        <f aca="true" t="shared" si="0" ref="J11:N12">I11*(1+J58)</f>
        <v>370015.2</v>
      </c>
      <c r="K11" s="20">
        <f t="shared" si="0"/>
        <v>351514.44</v>
      </c>
      <c r="L11" s="20">
        <f t="shared" si="0"/>
        <v>351514.44</v>
      </c>
      <c r="M11" s="20">
        <f t="shared" si="0"/>
        <v>369090.162</v>
      </c>
      <c r="N11" s="20">
        <f t="shared" si="0"/>
        <v>405999.1782</v>
      </c>
      <c r="O11" s="47"/>
    </row>
    <row r="12" spans="2:15" ht="15">
      <c r="B12" s="4" t="s">
        <v>84</v>
      </c>
      <c r="C12" s="46"/>
      <c r="D12" s="46"/>
      <c r="E12" s="17">
        <v>47600</v>
      </c>
      <c r="F12" s="17">
        <v>91975</v>
      </c>
      <c r="G12" s="17">
        <v>85450</v>
      </c>
      <c r="H12" s="17">
        <v>205943</v>
      </c>
      <c r="I12" s="23">
        <v>360390</v>
      </c>
      <c r="J12" s="20">
        <f t="shared" si="0"/>
        <v>360390</v>
      </c>
      <c r="K12" s="20">
        <f t="shared" si="0"/>
        <v>342370.5</v>
      </c>
      <c r="L12" s="20">
        <f t="shared" si="0"/>
        <v>325251.975</v>
      </c>
      <c r="M12" s="20">
        <f t="shared" si="0"/>
        <v>325251.975</v>
      </c>
      <c r="N12" s="20">
        <f t="shared" si="0"/>
        <v>341514.57375</v>
      </c>
      <c r="O12" s="47"/>
    </row>
    <row r="13" spans="2:15" ht="15">
      <c r="B13" s="11"/>
      <c r="C13" s="46"/>
      <c r="D13" s="46"/>
      <c r="E13" s="17"/>
      <c r="F13" s="17"/>
      <c r="G13" s="17"/>
      <c r="H13" s="17"/>
      <c r="I13" s="23"/>
      <c r="J13" s="17"/>
      <c r="K13" s="79"/>
      <c r="L13" s="79"/>
      <c r="M13" s="46"/>
      <c r="N13" s="46"/>
      <c r="O13" s="47"/>
    </row>
    <row r="14" spans="2:15" ht="15">
      <c r="B14" s="4" t="s">
        <v>85</v>
      </c>
      <c r="C14" s="46"/>
      <c r="D14" s="46"/>
      <c r="E14" s="83">
        <f>LLRs!E94</f>
        <v>419148</v>
      </c>
      <c r="F14" s="83">
        <f>LLRs!F94</f>
        <v>483127</v>
      </c>
      <c r="G14" s="83">
        <f>LLRs!G94</f>
        <v>519374</v>
      </c>
      <c r="H14" s="83">
        <f>LLRs!H94</f>
        <v>744898</v>
      </c>
      <c r="I14" s="78">
        <f>LLRs!I94</f>
        <v>633458</v>
      </c>
      <c r="J14" s="78">
        <f>LLRs!J94</f>
        <v>673297.0510849999</v>
      </c>
      <c r="K14" s="78">
        <f>LLRs!K94</f>
        <v>708442.305640375</v>
      </c>
      <c r="L14" s="78">
        <f>LLRs!L94</f>
        <v>746811.7031632689</v>
      </c>
      <c r="M14" s="78">
        <f>LLRs!M94</f>
        <v>775058.75121572</v>
      </c>
      <c r="N14" s="78">
        <f>LLRs!N94</f>
        <v>808091.0600279805</v>
      </c>
      <c r="O14" s="47"/>
    </row>
    <row r="15" spans="2:18" ht="15">
      <c r="B15" s="94" t="s">
        <v>86</v>
      </c>
      <c r="C15" s="46"/>
      <c r="D15" s="46"/>
      <c r="E15" s="83">
        <f>-LLRs!E47</f>
        <v>-7090</v>
      </c>
      <c r="F15" s="83">
        <f>-LLRs!F47</f>
        <v>-7279</v>
      </c>
      <c r="G15" s="83">
        <f>-LLRs!G47</f>
        <v>-9234</v>
      </c>
      <c r="H15" s="83">
        <f>-LLRs!H47</f>
        <v>-23164</v>
      </c>
      <c r="I15" s="78">
        <f>-LLRs!I47</f>
        <v>-31602</v>
      </c>
      <c r="J15" s="78">
        <f>-LLRs!J47</f>
        <v>-32854.40551187624</v>
      </c>
      <c r="K15" s="78">
        <f>-LLRs!K47</f>
        <v>-27755.582742691553</v>
      </c>
      <c r="L15" s="78">
        <f>-LLRs!L47</f>
        <v>-21531.32021585352</v>
      </c>
      <c r="M15" s="78">
        <f>-LLRs!M47</f>
        <v>-16820.313643633228</v>
      </c>
      <c r="N15" s="78">
        <f>-LLRs!N47</f>
        <v>-14510.980102824655</v>
      </c>
      <c r="O15" s="47"/>
      <c r="Q15" s="148"/>
      <c r="R15" s="148"/>
    </row>
    <row r="16" spans="2:17" ht="15">
      <c r="B16" s="92" t="s">
        <v>87</v>
      </c>
      <c r="C16" s="93"/>
      <c r="D16" s="93"/>
      <c r="E16" s="95">
        <f aca="true" t="shared" si="1" ref="E16:N16">SUM(E14:E15)</f>
        <v>412058</v>
      </c>
      <c r="F16" s="95">
        <f t="shared" si="1"/>
        <v>475848</v>
      </c>
      <c r="G16" s="95">
        <f t="shared" si="1"/>
        <v>510140</v>
      </c>
      <c r="H16" s="95">
        <f t="shared" si="1"/>
        <v>721734</v>
      </c>
      <c r="I16" s="95">
        <f t="shared" si="1"/>
        <v>601856</v>
      </c>
      <c r="J16" s="95">
        <f t="shared" si="1"/>
        <v>640442.6455731237</v>
      </c>
      <c r="K16" s="95">
        <f t="shared" si="1"/>
        <v>680686.7228976835</v>
      </c>
      <c r="L16" s="95">
        <f t="shared" si="1"/>
        <v>725280.3829474153</v>
      </c>
      <c r="M16" s="95">
        <f t="shared" si="1"/>
        <v>758238.4375720867</v>
      </c>
      <c r="N16" s="95">
        <f t="shared" si="1"/>
        <v>793580.0799251558</v>
      </c>
      <c r="O16" s="47"/>
      <c r="Q16" s="148"/>
    </row>
    <row r="17" spans="2:18" ht="15">
      <c r="B17" s="4" t="s">
        <v>88</v>
      </c>
      <c r="C17" s="46"/>
      <c r="D17" s="46"/>
      <c r="E17" s="17">
        <v>22421</v>
      </c>
      <c r="F17" s="17">
        <v>22891</v>
      </c>
      <c r="G17" s="17">
        <v>24823</v>
      </c>
      <c r="H17" s="17">
        <v>60987</v>
      </c>
      <c r="I17" s="23">
        <v>67427</v>
      </c>
      <c r="J17" s="79">
        <f>J14*J60</f>
        <v>67329.7051085</v>
      </c>
      <c r="K17" s="79">
        <f>K14*K60</f>
        <v>63759.80750763375</v>
      </c>
      <c r="L17" s="79">
        <f>L14*L60</f>
        <v>59744.93625306151</v>
      </c>
      <c r="M17" s="79">
        <f>M14*M60</f>
        <v>54254.1125851004</v>
      </c>
      <c r="N17" s="79">
        <f>N14*N60</f>
        <v>48485.46360167883</v>
      </c>
      <c r="O17" s="47"/>
      <c r="Q17" s="148"/>
      <c r="R17" s="148"/>
    </row>
    <row r="18" spans="2:17" ht="15">
      <c r="B18" s="4" t="s">
        <v>89</v>
      </c>
      <c r="C18" s="46"/>
      <c r="D18" s="46"/>
      <c r="E18" s="17">
        <v>9081</v>
      </c>
      <c r="F18" s="17">
        <v>8735</v>
      </c>
      <c r="G18" s="17">
        <v>9319</v>
      </c>
      <c r="H18" s="17">
        <v>10045</v>
      </c>
      <c r="I18" s="23">
        <v>11118</v>
      </c>
      <c r="J18" s="79">
        <f>I18-J217-J250</f>
        <v>11118</v>
      </c>
      <c r="K18" s="79">
        <f>J18-K217-K250</f>
        <v>11118</v>
      </c>
      <c r="L18" s="79">
        <f>K18-L217-L250</f>
        <v>11118</v>
      </c>
      <c r="M18" s="79">
        <f>L18-M217-M250</f>
        <v>11118</v>
      </c>
      <c r="N18" s="79">
        <f>M18-N217-N250</f>
        <v>11118</v>
      </c>
      <c r="O18" s="47"/>
      <c r="Q18" s="148"/>
    </row>
    <row r="19" spans="2:15" ht="15">
      <c r="B19" s="4" t="s">
        <v>90</v>
      </c>
      <c r="C19" s="46"/>
      <c r="D19" s="46"/>
      <c r="E19" s="17">
        <v>43621</v>
      </c>
      <c r="F19" s="17">
        <v>45186</v>
      </c>
      <c r="G19" s="17">
        <v>45270</v>
      </c>
      <c r="H19" s="17">
        <v>48027</v>
      </c>
      <c r="I19" s="23">
        <v>48357</v>
      </c>
      <c r="J19" s="79">
        <f>I19</f>
        <v>48357</v>
      </c>
      <c r="K19" s="79">
        <f>J19</f>
        <v>48357</v>
      </c>
      <c r="L19" s="79">
        <f>K19</f>
        <v>48357</v>
      </c>
      <c r="M19" s="79">
        <f>L19</f>
        <v>48357</v>
      </c>
      <c r="N19" s="79">
        <f>M19</f>
        <v>48357</v>
      </c>
      <c r="O19" s="47"/>
    </row>
    <row r="20" spans="2:15" ht="15">
      <c r="B20" s="4" t="s">
        <v>91</v>
      </c>
      <c r="C20" s="46"/>
      <c r="D20" s="46"/>
      <c r="E20" s="17">
        <v>6452</v>
      </c>
      <c r="F20" s="17">
        <v>7546</v>
      </c>
      <c r="G20" s="17">
        <v>8632</v>
      </c>
      <c r="H20" s="17">
        <v>9403</v>
      </c>
      <c r="I20" s="23">
        <v>15531</v>
      </c>
      <c r="J20" s="79">
        <f>I20+J61-J130</f>
        <v>16272.7176</v>
      </c>
      <c r="K20" s="79">
        <f>J20+K61-K130</f>
        <v>17567.4148725</v>
      </c>
      <c r="L20" s="79">
        <f>K20+L61-L130</f>
        <v>19456.199120625002</v>
      </c>
      <c r="M20" s="79">
        <f>L20+M61-M130</f>
        <v>22065.421303415627</v>
      </c>
      <c r="N20" s="79">
        <f>M20+N61-N130</f>
        <v>25152.386211100784</v>
      </c>
      <c r="O20" s="47"/>
    </row>
    <row r="21" spans="2:15" ht="15">
      <c r="B21" s="4" t="s">
        <v>92</v>
      </c>
      <c r="C21" s="46"/>
      <c r="D21" s="46"/>
      <c r="E21" s="17">
        <v>8107</v>
      </c>
      <c r="F21" s="17">
        <v>7306</v>
      </c>
      <c r="G21" s="17">
        <v>6099</v>
      </c>
      <c r="H21" s="17">
        <v>5581</v>
      </c>
      <c r="I21" s="23">
        <v>4621</v>
      </c>
      <c r="J21" s="79">
        <f>I21-J63</f>
        <v>3708</v>
      </c>
      <c r="K21" s="79">
        <f>J21-K63</f>
        <v>2915</v>
      </c>
      <c r="L21" s="79">
        <f>K21-L63</f>
        <v>2205</v>
      </c>
      <c r="M21" s="79">
        <f>L21-M63</f>
        <v>1584</v>
      </c>
      <c r="N21" s="79">
        <f>M21-N63</f>
        <v>1164</v>
      </c>
      <c r="O21" s="47"/>
    </row>
    <row r="22" spans="2:15" ht="15">
      <c r="B22" s="4" t="s">
        <v>93</v>
      </c>
      <c r="C22" s="46"/>
      <c r="D22" s="46"/>
      <c r="E22" s="17">
        <v>84309</v>
      </c>
      <c r="F22" s="17">
        <v>58124</v>
      </c>
      <c r="G22" s="17">
        <v>74314</v>
      </c>
      <c r="H22" s="17">
        <v>111200</v>
      </c>
      <c r="I22" s="23">
        <v>107091</v>
      </c>
      <c r="J22" s="79">
        <f>I22*(1+J64)</f>
        <v>112445.55</v>
      </c>
      <c r="K22" s="79">
        <f>J22*(1+K64)</f>
        <v>118067.82750000001</v>
      </c>
      <c r="L22" s="79">
        <f>K22*(1+L64)</f>
        <v>123971.21887500002</v>
      </c>
      <c r="M22" s="79">
        <f>L22*(1+M64)</f>
        <v>130169.77981875003</v>
      </c>
      <c r="N22" s="79">
        <f>M22*(1+N64)</f>
        <v>136678.26880968755</v>
      </c>
      <c r="O22" s="47"/>
    </row>
    <row r="23" spans="2:15" ht="15">
      <c r="B23" s="28" t="s">
        <v>94</v>
      </c>
      <c r="C23" s="64"/>
      <c r="D23" s="64"/>
      <c r="E23" s="27">
        <f aca="true" t="shared" si="2" ref="E23:N23">SUM(E16:E22)+SUM(E7:E12)</f>
        <v>1198942</v>
      </c>
      <c r="F23" s="27">
        <f t="shared" si="2"/>
        <v>1351520</v>
      </c>
      <c r="G23" s="27">
        <f t="shared" si="2"/>
        <v>1562147</v>
      </c>
      <c r="H23" s="27">
        <f t="shared" si="2"/>
        <v>2175052</v>
      </c>
      <c r="I23" s="27">
        <f t="shared" si="2"/>
        <v>2031989</v>
      </c>
      <c r="J23" s="27">
        <f t="shared" si="2"/>
        <v>2038056.1018668604</v>
      </c>
      <c r="K23" s="27">
        <f t="shared" si="2"/>
        <v>2075430.925448046</v>
      </c>
      <c r="L23" s="27">
        <f t="shared" si="2"/>
        <v>2160814.2058340716</v>
      </c>
      <c r="M23" s="27">
        <f t="shared" si="2"/>
        <v>2228529.1280921786</v>
      </c>
      <c r="N23" s="27">
        <f t="shared" si="2"/>
        <v>2344012.6063048183</v>
      </c>
      <c r="O23" s="47"/>
    </row>
    <row r="24" spans="2:15" ht="15">
      <c r="B24" s="92" t="s">
        <v>95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47"/>
    </row>
    <row r="25" spans="2:15" ht="15">
      <c r="B25" s="96" t="s">
        <v>96</v>
      </c>
      <c r="C25" s="46"/>
      <c r="D25" s="46"/>
      <c r="E25" s="16">
        <v>554991</v>
      </c>
      <c r="F25" s="16">
        <v>638788</v>
      </c>
      <c r="G25" s="16">
        <v>740728</v>
      </c>
      <c r="H25" s="16">
        <v>1009277</v>
      </c>
      <c r="I25" s="22">
        <v>938367</v>
      </c>
      <c r="J25" s="19">
        <f>J14/J67</f>
        <v>909860.8798445945</v>
      </c>
      <c r="K25" s="19">
        <f>K14/K67</f>
        <v>932160.9284741776</v>
      </c>
      <c r="L25" s="19">
        <f>L14/L67</f>
        <v>995748.9375510252</v>
      </c>
      <c r="M25" s="19">
        <f>M14/M67</f>
        <v>1033411.6682876266</v>
      </c>
      <c r="N25" s="19">
        <f>N14/N67</f>
        <v>1077454.746703974</v>
      </c>
      <c r="O25" s="47"/>
    </row>
    <row r="26" spans="2:15" ht="15">
      <c r="B26" s="4" t="s">
        <v>97</v>
      </c>
      <c r="C26" s="46"/>
      <c r="D26" s="46"/>
      <c r="E26" s="17">
        <v>125925</v>
      </c>
      <c r="F26" s="17">
        <v>162173</v>
      </c>
      <c r="G26" s="17">
        <v>154398</v>
      </c>
      <c r="H26" s="17">
        <v>192546</v>
      </c>
      <c r="I26" s="23">
        <v>261413</v>
      </c>
      <c r="J26" s="20">
        <f>I26+J78</f>
        <v>278732.1771299953</v>
      </c>
      <c r="K26" s="20">
        <f>J26+K78</f>
        <v>278732.1771299953</v>
      </c>
      <c r="L26" s="20">
        <f>K26+L78</f>
        <v>278732.1771299953</v>
      </c>
      <c r="M26" s="20">
        <f>L26+M78</f>
        <v>288079.8572560672</v>
      </c>
      <c r="N26" s="20">
        <f>M26+N78</f>
        <v>308678.0793434314</v>
      </c>
      <c r="O26" s="47"/>
    </row>
    <row r="27" spans="2:15" ht="15">
      <c r="B27" s="4" t="s">
        <v>98</v>
      </c>
      <c r="C27" s="46"/>
      <c r="D27" s="46"/>
      <c r="E27" s="17">
        <v>13863</v>
      </c>
      <c r="F27" s="17">
        <v>18849</v>
      </c>
      <c r="G27" s="17">
        <v>49596</v>
      </c>
      <c r="H27" s="17">
        <v>37845</v>
      </c>
      <c r="I27" s="23">
        <v>41794</v>
      </c>
      <c r="J27" s="20">
        <f aca="true" t="shared" si="3" ref="J27:N28">J$14*J68</f>
        <v>43764.30832052499</v>
      </c>
      <c r="K27" s="20">
        <f t="shared" si="3"/>
        <v>42506.5383384225</v>
      </c>
      <c r="L27" s="20">
        <f t="shared" si="3"/>
        <v>41074.64367397979</v>
      </c>
      <c r="M27" s="20">
        <f t="shared" si="3"/>
        <v>38752.937560786</v>
      </c>
      <c r="N27" s="20">
        <f t="shared" si="3"/>
        <v>40404.55300139903</v>
      </c>
      <c r="O27" s="47"/>
    </row>
    <row r="28" spans="2:15" ht="15">
      <c r="B28" s="4" t="s">
        <v>99</v>
      </c>
      <c r="C28" s="46"/>
      <c r="D28" s="46"/>
      <c r="E28" s="17">
        <v>10479</v>
      </c>
      <c r="F28" s="17">
        <v>18053</v>
      </c>
      <c r="G28" s="17">
        <v>28835</v>
      </c>
      <c r="H28" s="17">
        <v>132400</v>
      </c>
      <c r="I28" s="23">
        <v>55740</v>
      </c>
      <c r="J28" s="20">
        <f t="shared" si="3"/>
        <v>53863.764086799994</v>
      </c>
      <c r="K28" s="20">
        <f t="shared" si="3"/>
        <v>49590.961394826256</v>
      </c>
      <c r="L28" s="20">
        <f t="shared" si="3"/>
        <v>44808.70218979613</v>
      </c>
      <c r="M28" s="20">
        <f t="shared" si="3"/>
        <v>38752.937560786</v>
      </c>
      <c r="N28" s="20">
        <f t="shared" si="3"/>
        <v>32323.64240111922</v>
      </c>
      <c r="O28" s="47"/>
    </row>
    <row r="29" spans="2:15" ht="15">
      <c r="B29" s="4" t="s">
        <v>100</v>
      </c>
      <c r="C29" s="46"/>
      <c r="D29" s="46"/>
      <c r="E29" s="17">
        <v>145930</v>
      </c>
      <c r="F29" s="17">
        <v>147957</v>
      </c>
      <c r="G29" s="17">
        <v>157867</v>
      </c>
      <c r="H29" s="17">
        <v>166878</v>
      </c>
      <c r="I29" s="23">
        <v>125071</v>
      </c>
      <c r="J29" s="20">
        <f>J11*J70</f>
        <v>118404.864</v>
      </c>
      <c r="K29" s="20">
        <f>K11*K70</f>
        <v>119514.90960000001</v>
      </c>
      <c r="L29" s="20">
        <f>L11*L70</f>
        <v>126545.1984</v>
      </c>
      <c r="M29" s="20">
        <f>M11*M70</f>
        <v>140254.26156</v>
      </c>
      <c r="N29" s="20">
        <f>N11*N70</f>
        <v>162399.67128</v>
      </c>
      <c r="O29" s="47"/>
    </row>
    <row r="30" spans="2:15" ht="15">
      <c r="B30" s="4" t="s">
        <v>101</v>
      </c>
      <c r="C30" s="46"/>
      <c r="D30" s="46"/>
      <c r="E30" s="17">
        <v>78460</v>
      </c>
      <c r="F30" s="17">
        <v>88096</v>
      </c>
      <c r="G30" s="17">
        <v>94476</v>
      </c>
      <c r="H30" s="17">
        <v>187978</v>
      </c>
      <c r="I30" s="23">
        <v>162696</v>
      </c>
      <c r="J30" s="20">
        <f>J14*J71</f>
        <v>161591.2922604</v>
      </c>
      <c r="K30" s="20">
        <f>K14*K71</f>
        <v>155857.3072408825</v>
      </c>
      <c r="L30" s="20">
        <f>L14*L71</f>
        <v>149362.34063265377</v>
      </c>
      <c r="M30" s="20">
        <f>M14*M71</f>
        <v>139510.5752188296</v>
      </c>
      <c r="N30" s="20">
        <f>N14*N71</f>
        <v>145456.39080503647</v>
      </c>
      <c r="O30" s="47"/>
    </row>
    <row r="31" spans="2:15" ht="15">
      <c r="B31" s="4" t="s">
        <v>102</v>
      </c>
      <c r="C31" s="46"/>
      <c r="D31" s="46"/>
      <c r="E31" s="17">
        <v>42197</v>
      </c>
      <c r="F31" s="17">
        <v>16184</v>
      </c>
      <c r="G31" s="17">
        <v>14016</v>
      </c>
      <c r="H31" s="17">
        <v>10561</v>
      </c>
      <c r="I31" s="23">
        <v>15225</v>
      </c>
      <c r="J31" s="20">
        <f>I31</f>
        <v>15225</v>
      </c>
      <c r="K31" s="20">
        <f>J31</f>
        <v>15225</v>
      </c>
      <c r="L31" s="20">
        <f>K31</f>
        <v>15225</v>
      </c>
      <c r="M31" s="20">
        <f>L31</f>
        <v>15225</v>
      </c>
      <c r="N31" s="20">
        <f>M31</f>
        <v>15225</v>
      </c>
      <c r="O31" s="47"/>
    </row>
    <row r="32" spans="2:15" ht="15">
      <c r="B32" s="4" t="s">
        <v>103</v>
      </c>
      <c r="C32" s="46"/>
      <c r="D32" s="46"/>
      <c r="E32" s="17">
        <v>108357</v>
      </c>
      <c r="F32" s="17">
        <v>133421</v>
      </c>
      <c r="G32" s="17">
        <v>183862</v>
      </c>
      <c r="H32" s="17">
        <v>270683</v>
      </c>
      <c r="I32" s="23">
        <v>266318</v>
      </c>
      <c r="J32" s="20">
        <f>J$14*J72</f>
        <v>269318.820434</v>
      </c>
      <c r="K32" s="20">
        <f>K$14*K72</f>
        <v>269208.0761433425</v>
      </c>
      <c r="L32" s="20">
        <f>L$14*L72</f>
        <v>268852.2131387768</v>
      </c>
      <c r="M32" s="20">
        <f>M$14*M72</f>
        <v>263519.9754133448</v>
      </c>
      <c r="N32" s="20">
        <f>N$14*N72</f>
        <v>258589.13920895377</v>
      </c>
      <c r="O32" s="47"/>
    </row>
    <row r="33" spans="2:15" ht="15">
      <c r="B33" s="4" t="s">
        <v>104</v>
      </c>
      <c r="C33" s="46"/>
      <c r="D33" s="46"/>
      <c r="E33" s="17">
        <v>11529</v>
      </c>
      <c r="F33" s="17">
        <v>12209</v>
      </c>
      <c r="G33" s="17">
        <v>15148</v>
      </c>
      <c r="H33" s="17">
        <v>0</v>
      </c>
      <c r="I33" s="23">
        <v>0</v>
      </c>
      <c r="J33" s="20">
        <f>I33</f>
        <v>0</v>
      </c>
      <c r="K33" s="20">
        <f>J33</f>
        <v>0</v>
      </c>
      <c r="L33" s="20">
        <f>K33</f>
        <v>0</v>
      </c>
      <c r="M33" s="20">
        <f>L33</f>
        <v>0</v>
      </c>
      <c r="N33" s="20">
        <f>M33</f>
        <v>0</v>
      </c>
      <c r="O33" s="47"/>
    </row>
    <row r="34" spans="2:15" ht="15">
      <c r="B34" s="28" t="s">
        <v>105</v>
      </c>
      <c r="C34" s="64"/>
      <c r="D34" s="64"/>
      <c r="E34" s="27">
        <f aca="true" t="shared" si="4" ref="E34:N34">SUM(E25:E33)</f>
        <v>1091731</v>
      </c>
      <c r="F34" s="27">
        <f t="shared" si="4"/>
        <v>1235730</v>
      </c>
      <c r="G34" s="27">
        <f t="shared" si="4"/>
        <v>1438926</v>
      </c>
      <c r="H34" s="27">
        <f t="shared" si="4"/>
        <v>2008168</v>
      </c>
      <c r="I34" s="27">
        <f t="shared" si="4"/>
        <v>1866624</v>
      </c>
      <c r="J34" s="27">
        <f t="shared" si="4"/>
        <v>1850761.106076315</v>
      </c>
      <c r="K34" s="27">
        <f t="shared" si="4"/>
        <v>1862795.8983216467</v>
      </c>
      <c r="L34" s="27">
        <f t="shared" si="4"/>
        <v>1920349.212716227</v>
      </c>
      <c r="M34" s="27">
        <f t="shared" si="4"/>
        <v>1957507.2128574403</v>
      </c>
      <c r="N34" s="27">
        <f t="shared" si="4"/>
        <v>2040531.2227439138</v>
      </c>
      <c r="O34" s="47"/>
    </row>
    <row r="35" spans="2:15" ht="15">
      <c r="B35" s="2"/>
      <c r="C35" s="46"/>
      <c r="D35" s="46"/>
      <c r="E35" s="46"/>
      <c r="F35" s="46"/>
      <c r="G35" s="46"/>
      <c r="H35" s="46"/>
      <c r="I35" s="46"/>
      <c r="J35" s="97"/>
      <c r="K35" s="97"/>
      <c r="L35" s="97"/>
      <c r="M35" s="97"/>
      <c r="N35" s="97"/>
      <c r="O35" s="47"/>
    </row>
    <row r="36" spans="2:15" ht="15">
      <c r="B36" s="2" t="s">
        <v>106</v>
      </c>
      <c r="C36" s="46"/>
      <c r="D36" s="46"/>
      <c r="E36" s="46"/>
      <c r="F36" s="46"/>
      <c r="G36" s="46"/>
      <c r="H36" s="46"/>
      <c r="I36" s="46"/>
      <c r="J36" s="97"/>
      <c r="K36" s="97"/>
      <c r="L36" s="97"/>
      <c r="M36" s="97"/>
      <c r="N36" s="97"/>
      <c r="O36" s="47"/>
    </row>
    <row r="37" spans="2:15" ht="15">
      <c r="B37" s="4" t="s">
        <v>107</v>
      </c>
      <c r="C37" s="46"/>
      <c r="D37" s="46"/>
      <c r="E37" s="16">
        <v>139</v>
      </c>
      <c r="F37" s="16">
        <v>0</v>
      </c>
      <c r="G37" s="16">
        <v>0</v>
      </c>
      <c r="H37" s="16">
        <v>31939</v>
      </c>
      <c r="I37" s="22">
        <v>8152</v>
      </c>
      <c r="J37" s="19">
        <f>I37+SUM(J263:J265)</f>
        <v>8152</v>
      </c>
      <c r="K37" s="19">
        <f>J37+SUM(K263:K265)</f>
        <v>8152</v>
      </c>
      <c r="L37" s="19">
        <f>K37+SUM(L263:L265)</f>
        <v>8152</v>
      </c>
      <c r="M37" s="19">
        <f>L37+SUM(M263:M265)</f>
        <v>8152</v>
      </c>
      <c r="N37" s="19">
        <f>M37+SUM(N263:N265)</f>
        <v>8152</v>
      </c>
      <c r="O37" s="47"/>
    </row>
    <row r="38" spans="2:15" ht="15">
      <c r="B38" s="4" t="s">
        <v>108</v>
      </c>
      <c r="C38" s="46"/>
      <c r="D38" s="46"/>
      <c r="E38" s="17">
        <v>3618</v>
      </c>
      <c r="F38" s="17">
        <v>3658</v>
      </c>
      <c r="G38" s="17">
        <v>3658</v>
      </c>
      <c r="H38" s="17">
        <v>3942</v>
      </c>
      <c r="I38" s="23">
        <v>4105</v>
      </c>
      <c r="J38" s="20">
        <f>I38</f>
        <v>4105</v>
      </c>
      <c r="K38" s="20">
        <f>J38</f>
        <v>4105</v>
      </c>
      <c r="L38" s="20">
        <f>K38</f>
        <v>4105</v>
      </c>
      <c r="M38" s="20">
        <f>L38</f>
        <v>4105</v>
      </c>
      <c r="N38" s="20">
        <f>M38</f>
        <v>4105</v>
      </c>
      <c r="O38" s="47"/>
    </row>
    <row r="39" spans="2:15" ht="15">
      <c r="B39" s="4" t="s">
        <v>109</v>
      </c>
      <c r="C39" s="46"/>
      <c r="D39" s="46"/>
      <c r="E39" s="17">
        <v>74994</v>
      </c>
      <c r="F39" s="17">
        <v>77807</v>
      </c>
      <c r="G39" s="17">
        <v>78597</v>
      </c>
      <c r="H39" s="17">
        <v>92143</v>
      </c>
      <c r="I39" s="23">
        <v>97982</v>
      </c>
      <c r="J39" s="20">
        <f>I39+J222+J261</f>
        <v>105322.12607155793</v>
      </c>
      <c r="K39" s="20">
        <f>J39+K222+K261</f>
        <v>112508.19466834988</v>
      </c>
      <c r="L39" s="20">
        <f>K39+L222+L261</f>
        <v>119722.86885501028</v>
      </c>
      <c r="M39" s="20">
        <f>L39+M222+M261</f>
        <v>127130.90860042853</v>
      </c>
      <c r="N39" s="20">
        <f>M39+N222+N261</f>
        <v>134684.4945955708</v>
      </c>
      <c r="O39" s="47"/>
    </row>
    <row r="40" spans="2:15" ht="15">
      <c r="B40" s="4" t="s">
        <v>110</v>
      </c>
      <c r="C40" s="46"/>
      <c r="D40" s="46"/>
      <c r="E40" s="17">
        <v>33848</v>
      </c>
      <c r="F40" s="17">
        <v>43600</v>
      </c>
      <c r="G40" s="17">
        <v>54715</v>
      </c>
      <c r="H40" s="17">
        <v>54013</v>
      </c>
      <c r="I40" s="23">
        <v>62481</v>
      </c>
      <c r="J40" s="20">
        <f>I40+J159+J267</f>
        <v>77070.86971898719</v>
      </c>
      <c r="K40" s="20">
        <f>J40+K159+K267</f>
        <v>95224.83245804961</v>
      </c>
      <c r="L40" s="20">
        <f>K40+L159+L267</f>
        <v>115840.12426283828</v>
      </c>
      <c r="M40" s="20">
        <f>L40+M159+M267</f>
        <v>138989.0066343556</v>
      </c>
      <c r="N40" s="20">
        <f>M40+N159+N267</f>
        <v>163894.88896764812</v>
      </c>
      <c r="O40" s="47"/>
    </row>
    <row r="41" spans="2:15" ht="15">
      <c r="B41" s="4" t="s">
        <v>111</v>
      </c>
      <c r="C41" s="46"/>
      <c r="D41" s="46"/>
      <c r="E41" s="17">
        <v>-626</v>
      </c>
      <c r="F41" s="17">
        <v>-1557</v>
      </c>
      <c r="G41" s="17">
        <v>-917</v>
      </c>
      <c r="H41" s="17">
        <v>-5687</v>
      </c>
      <c r="I41" s="23">
        <v>-91</v>
      </c>
      <c r="J41" s="20">
        <f>I41+J271</f>
        <v>-91</v>
      </c>
      <c r="K41" s="20">
        <f>J41+K271</f>
        <v>-91</v>
      </c>
      <c r="L41" s="20">
        <f>K41+L271</f>
        <v>-91</v>
      </c>
      <c r="M41" s="20">
        <f>L41+M271</f>
        <v>-91</v>
      </c>
      <c r="N41" s="20">
        <f>M41+N271</f>
        <v>-91</v>
      </c>
      <c r="O41" s="47"/>
    </row>
    <row r="42" spans="2:15" ht="15">
      <c r="B42" s="4" t="s">
        <v>112</v>
      </c>
      <c r="C42" s="46"/>
      <c r="D42" s="46"/>
      <c r="E42" s="17">
        <v>0</v>
      </c>
      <c r="F42" s="17">
        <v>0</v>
      </c>
      <c r="G42" s="17">
        <v>0</v>
      </c>
      <c r="H42" s="17">
        <v>-217</v>
      </c>
      <c r="I42" s="23">
        <v>-68</v>
      </c>
      <c r="J42" s="20">
        <f>I42</f>
        <v>-68</v>
      </c>
      <c r="K42" s="20">
        <f>J42</f>
        <v>-68</v>
      </c>
      <c r="L42" s="20">
        <f>K42</f>
        <v>-68</v>
      </c>
      <c r="M42" s="20">
        <f>L42</f>
        <v>-68</v>
      </c>
      <c r="N42" s="20">
        <f>M42</f>
        <v>-68</v>
      </c>
      <c r="O42" s="47"/>
    </row>
    <row r="43" spans="2:15" ht="15">
      <c r="B43" s="4" t="s">
        <v>113</v>
      </c>
      <c r="C43" s="46"/>
      <c r="D43" s="46"/>
      <c r="E43" s="17">
        <v>-4762</v>
      </c>
      <c r="F43" s="17">
        <v>-7718</v>
      </c>
      <c r="G43" s="17">
        <v>-12832</v>
      </c>
      <c r="H43" s="17">
        <v>-9249</v>
      </c>
      <c r="I43" s="23">
        <v>-7196</v>
      </c>
      <c r="J43" s="20">
        <f>I43+J266</f>
        <v>-7196</v>
      </c>
      <c r="K43" s="20">
        <f>J43+K266</f>
        <v>-7196</v>
      </c>
      <c r="L43" s="20">
        <f>K43+L266</f>
        <v>-7196</v>
      </c>
      <c r="M43" s="20">
        <f>L43+M266</f>
        <v>-7196</v>
      </c>
      <c r="N43" s="20">
        <f>M43+N266</f>
        <v>-7196</v>
      </c>
      <c r="O43" s="47"/>
    </row>
    <row r="44" spans="2:15" ht="15">
      <c r="B44" s="28" t="s">
        <v>114</v>
      </c>
      <c r="C44" s="64"/>
      <c r="D44" s="64"/>
      <c r="E44" s="27">
        <f aca="true" t="shared" si="5" ref="E44:N44">SUM(E37:E43)</f>
        <v>107211</v>
      </c>
      <c r="F44" s="27">
        <f t="shared" si="5"/>
        <v>115790</v>
      </c>
      <c r="G44" s="27">
        <f t="shared" si="5"/>
        <v>123221</v>
      </c>
      <c r="H44" s="27">
        <f t="shared" si="5"/>
        <v>166884</v>
      </c>
      <c r="I44" s="27">
        <f t="shared" si="5"/>
        <v>165365</v>
      </c>
      <c r="J44" s="27">
        <f t="shared" si="5"/>
        <v>187294.99579054513</v>
      </c>
      <c r="K44" s="27">
        <f t="shared" si="5"/>
        <v>212635.0271263995</v>
      </c>
      <c r="L44" s="27">
        <f t="shared" si="5"/>
        <v>240464.99311784856</v>
      </c>
      <c r="M44" s="27">
        <f t="shared" si="5"/>
        <v>271021.91523478413</v>
      </c>
      <c r="N44" s="27">
        <f t="shared" si="5"/>
        <v>303481.38356321893</v>
      </c>
      <c r="O44" s="47"/>
    </row>
    <row r="45" spans="2:15" ht="15">
      <c r="B45" s="11"/>
      <c r="C45" s="46"/>
      <c r="D45" s="46"/>
      <c r="E45" s="46"/>
      <c r="F45" s="46"/>
      <c r="G45" s="46"/>
      <c r="H45" s="46"/>
      <c r="I45" s="46"/>
      <c r="J45" s="97"/>
      <c r="K45" s="97"/>
      <c r="L45" s="97"/>
      <c r="M45" s="97"/>
      <c r="N45" s="97"/>
      <c r="O45" s="47"/>
    </row>
    <row r="46" spans="2:15" ht="15">
      <c r="B46" s="28" t="s">
        <v>115</v>
      </c>
      <c r="C46" s="64"/>
      <c r="D46" s="64"/>
      <c r="E46" s="27">
        <f aca="true" t="shared" si="6" ref="E46:N46">E44+E34</f>
        <v>1198942</v>
      </c>
      <c r="F46" s="27">
        <f t="shared" si="6"/>
        <v>1351520</v>
      </c>
      <c r="G46" s="27">
        <f t="shared" si="6"/>
        <v>1562147</v>
      </c>
      <c r="H46" s="27">
        <f t="shared" si="6"/>
        <v>2175052</v>
      </c>
      <c r="I46" s="27">
        <f t="shared" si="6"/>
        <v>2031989</v>
      </c>
      <c r="J46" s="27">
        <f t="shared" si="6"/>
        <v>2038056.1018668602</v>
      </c>
      <c r="K46" s="27">
        <f t="shared" si="6"/>
        <v>2075430.9254480463</v>
      </c>
      <c r="L46" s="27">
        <f t="shared" si="6"/>
        <v>2160814.2058340753</v>
      </c>
      <c r="M46" s="27">
        <f t="shared" si="6"/>
        <v>2228529.1280922247</v>
      </c>
      <c r="N46" s="27">
        <f t="shared" si="6"/>
        <v>2344012.6063071326</v>
      </c>
      <c r="O46" s="47"/>
    </row>
    <row r="47" spans="2:15" ht="15">
      <c r="B47" s="1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</row>
    <row r="48" spans="2:15" ht="15">
      <c r="B48" s="98" t="s">
        <v>116</v>
      </c>
      <c r="C48" s="48"/>
      <c r="D48" s="48"/>
      <c r="E48" s="99">
        <f>E23-E46</f>
        <v>0</v>
      </c>
      <c r="F48" s="99">
        <f aca="true" t="shared" si="7" ref="F48:N48">F23-F46</f>
        <v>0</v>
      </c>
      <c r="G48" s="99">
        <f t="shared" si="7"/>
        <v>0</v>
      </c>
      <c r="H48" s="99">
        <f t="shared" si="7"/>
        <v>0</v>
      </c>
      <c r="I48" s="99">
        <f t="shared" si="7"/>
        <v>0</v>
      </c>
      <c r="J48" s="99">
        <f t="shared" si="7"/>
        <v>0</v>
      </c>
      <c r="K48" s="99">
        <f t="shared" si="7"/>
        <v>0</v>
      </c>
      <c r="L48" s="99">
        <f t="shared" si="7"/>
        <v>-3.725290298461914E-09</v>
      </c>
      <c r="M48" s="99">
        <f t="shared" si="7"/>
        <v>-4.6100467443466187E-08</v>
      </c>
      <c r="N48" s="99">
        <f t="shared" si="7"/>
        <v>-2.314336597919464E-06</v>
      </c>
      <c r="O48" s="49"/>
    </row>
    <row r="50" spans="2:15" ht="15">
      <c r="B50" s="42" t="str">
        <f>Company_Name&amp;" - Balance Sheet Drivers"</f>
        <v>JPMorgan Chase &amp; Co. - Balance Sheet Drivers</v>
      </c>
      <c r="C50" s="50"/>
      <c r="D50" s="50"/>
      <c r="E50" s="50"/>
      <c r="F50" s="50"/>
      <c r="G50" s="51"/>
      <c r="H50" s="51"/>
      <c r="I50" s="51"/>
      <c r="J50" s="51"/>
      <c r="K50" s="51"/>
      <c r="L50" s="51"/>
      <c r="M50" s="51"/>
      <c r="N50" s="51"/>
      <c r="O50" s="52"/>
    </row>
    <row r="51" spans="2:15" ht="15">
      <c r="B51" s="11" t="str">
        <f>Loans!$B$3</f>
        <v>($ in Millions)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</row>
    <row r="52" spans="2:15" ht="15">
      <c r="B52" s="11"/>
      <c r="C52" s="46"/>
      <c r="D52" s="46"/>
      <c r="E52" s="13" t="str">
        <f>LLRs!$E$4</f>
        <v>Historical</v>
      </c>
      <c r="F52" s="13"/>
      <c r="G52" s="13"/>
      <c r="H52" s="13"/>
      <c r="I52" s="13"/>
      <c r="J52" s="12" t="str">
        <f>LLRs!$J$4</f>
        <v>Projected</v>
      </c>
      <c r="K52" s="12"/>
      <c r="L52" s="12"/>
      <c r="M52" s="12"/>
      <c r="N52" s="12"/>
      <c r="O52" s="47"/>
    </row>
    <row r="53" spans="2:15" ht="15">
      <c r="B53" s="14" t="str">
        <f>Loans!$B$5</f>
        <v>December 31, </v>
      </c>
      <c r="C53" s="48"/>
      <c r="D53" s="48"/>
      <c r="E53" s="69">
        <f>Loans!$E$5</f>
        <v>2005</v>
      </c>
      <c r="F53" s="69">
        <f>Loans!$F$5</f>
        <v>2006</v>
      </c>
      <c r="G53" s="69">
        <f>Loans!$G$5</f>
        <v>2007</v>
      </c>
      <c r="H53" s="69">
        <f>Loans!$H$5</f>
        <v>2008</v>
      </c>
      <c r="I53" s="70">
        <f>Loans!$I$5</f>
        <v>2009</v>
      </c>
      <c r="J53" s="15">
        <f>Loans!$J$5</f>
        <v>2010</v>
      </c>
      <c r="K53" s="15">
        <f>Loans!$K$5</f>
        <v>2011</v>
      </c>
      <c r="L53" s="15">
        <f>Loans!$L$5</f>
        <v>2012</v>
      </c>
      <c r="M53" s="15">
        <f>Loans!$M$5</f>
        <v>2013</v>
      </c>
      <c r="N53" s="15">
        <f>Loans!$N$5</f>
        <v>2014</v>
      </c>
      <c r="O53" s="47"/>
    </row>
    <row r="54" spans="2:15" ht="15">
      <c r="B54" s="92" t="s">
        <v>78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47"/>
    </row>
    <row r="55" spans="2:15" ht="15">
      <c r="B55" s="96" t="s">
        <v>117</v>
      </c>
      <c r="C55" s="46"/>
      <c r="D55" s="46"/>
      <c r="E55" s="75">
        <f>E7/E25</f>
        <v>0.06607314352845362</v>
      </c>
      <c r="F55" s="75">
        <f>F7/F25</f>
        <v>0.06326355535795913</v>
      </c>
      <c r="G55" s="75">
        <f>G7/G25</f>
        <v>0.054195332159713144</v>
      </c>
      <c r="H55" s="75">
        <f>H7/H25</f>
        <v>0.026647788466397232</v>
      </c>
      <c r="I55" s="76">
        <f>I7/I25</f>
        <v>0.027927239555525715</v>
      </c>
      <c r="J55" s="77">
        <v>0.03</v>
      </c>
      <c r="K55" s="77">
        <v>0.035</v>
      </c>
      <c r="L55" s="77">
        <v>0.04</v>
      </c>
      <c r="M55" s="77">
        <v>0.045</v>
      </c>
      <c r="N55" s="77">
        <v>0.05</v>
      </c>
      <c r="O55" s="47"/>
    </row>
    <row r="56" spans="2:15" ht="15">
      <c r="B56" s="96" t="s">
        <v>118</v>
      </c>
      <c r="C56" s="46"/>
      <c r="D56" s="46"/>
      <c r="E56" s="75">
        <f>E8/E25</f>
        <v>0.039029461739019194</v>
      </c>
      <c r="F56" s="75">
        <f>F8/F25</f>
        <v>0.02120734891701159</v>
      </c>
      <c r="G56" s="75">
        <f>G8/G25</f>
        <v>0.015479366245099416</v>
      </c>
      <c r="H56" s="75">
        <f>H8/H25</f>
        <v>0.13686926383936224</v>
      </c>
      <c r="I56" s="76">
        <f>I8/I25</f>
        <v>0.067383017518732</v>
      </c>
      <c r="J56" s="77">
        <v>0.065</v>
      </c>
      <c r="K56" s="77">
        <v>0.06</v>
      </c>
      <c r="L56" s="77">
        <v>0.05</v>
      </c>
      <c r="M56" s="77">
        <v>0.04</v>
      </c>
      <c r="N56" s="77">
        <v>0.03</v>
      </c>
      <c r="O56" s="47"/>
    </row>
    <row r="57" spans="2:15" ht="15">
      <c r="B57" s="4" t="s">
        <v>119</v>
      </c>
      <c r="C57" s="46"/>
      <c r="D57" s="46"/>
      <c r="E57" s="75">
        <f>E10/E12</f>
        <v>1.5673109243697478</v>
      </c>
      <c r="F57" s="75">
        <f>F10/F12</f>
        <v>0.8011742321282957</v>
      </c>
      <c r="G57" s="75">
        <f>G10/G12</f>
        <v>0.985184318314804</v>
      </c>
      <c r="H57" s="75">
        <f>H10/H12</f>
        <v>0.6021083503687914</v>
      </c>
      <c r="I57" s="76">
        <f>I10/I12</f>
        <v>0.33194594744582256</v>
      </c>
      <c r="J57" s="77">
        <v>0.35</v>
      </c>
      <c r="K57" s="77">
        <v>0.4</v>
      </c>
      <c r="L57" s="77">
        <v>0.45</v>
      </c>
      <c r="M57" s="77">
        <v>0.5</v>
      </c>
      <c r="N57" s="77">
        <v>0.55</v>
      </c>
      <c r="O57" s="47"/>
    </row>
    <row r="58" spans="2:15" ht="15">
      <c r="B58" s="4" t="s">
        <v>120</v>
      </c>
      <c r="C58" s="46"/>
      <c r="D58" s="46"/>
      <c r="E58" s="75"/>
      <c r="F58" s="75">
        <f aca="true" t="shared" si="8" ref="F58:I59">F11/E11-1</f>
        <v>0.22575801754156655</v>
      </c>
      <c r="G58" s="75">
        <f t="shared" si="8"/>
        <v>0.3436093597055816</v>
      </c>
      <c r="H58" s="75">
        <f t="shared" si="8"/>
        <v>0.03779743553740378</v>
      </c>
      <c r="I58" s="76">
        <f t="shared" si="8"/>
        <v>-0.19383979465982204</v>
      </c>
      <c r="J58" s="77">
        <v>-0.1</v>
      </c>
      <c r="K58" s="77">
        <v>-0.05</v>
      </c>
      <c r="L58" s="77">
        <v>0</v>
      </c>
      <c r="M58" s="77">
        <v>0.05</v>
      </c>
      <c r="N58" s="77">
        <v>0.1</v>
      </c>
      <c r="O58" s="47"/>
    </row>
    <row r="59" spans="2:15" ht="15">
      <c r="B59" s="4" t="s">
        <v>121</v>
      </c>
      <c r="C59" s="46"/>
      <c r="D59" s="46"/>
      <c r="E59" s="75"/>
      <c r="F59" s="75">
        <f t="shared" si="8"/>
        <v>0.9322478991596639</v>
      </c>
      <c r="G59" s="75">
        <f t="shared" si="8"/>
        <v>-0.07094319108453384</v>
      </c>
      <c r="H59" s="75">
        <f t="shared" si="8"/>
        <v>1.4100994733762433</v>
      </c>
      <c r="I59" s="76">
        <f t="shared" si="8"/>
        <v>0.7499502289468445</v>
      </c>
      <c r="J59" s="77">
        <v>0</v>
      </c>
      <c r="K59" s="77">
        <v>-0.05</v>
      </c>
      <c r="L59" s="77">
        <v>-0.05</v>
      </c>
      <c r="M59" s="77">
        <v>0</v>
      </c>
      <c r="N59" s="77">
        <v>0.05</v>
      </c>
      <c r="O59" s="47"/>
    </row>
    <row r="60" spans="2:15" ht="15">
      <c r="B60" s="4" t="s">
        <v>122</v>
      </c>
      <c r="C60" s="46"/>
      <c r="D60" s="46"/>
      <c r="E60" s="75">
        <f>E17/E14</f>
        <v>0.05349184536249726</v>
      </c>
      <c r="F60" s="75">
        <f>F17/F14</f>
        <v>0.04738091640500324</v>
      </c>
      <c r="G60" s="75">
        <f>G17/G14</f>
        <v>0.04779407517511466</v>
      </c>
      <c r="H60" s="75">
        <f>H17/H14</f>
        <v>0.08187295441792031</v>
      </c>
      <c r="I60" s="76">
        <f>I17/I14</f>
        <v>0.10644273179910901</v>
      </c>
      <c r="J60" s="77">
        <v>0.1</v>
      </c>
      <c r="K60" s="77">
        <v>0.09</v>
      </c>
      <c r="L60" s="77">
        <v>0.08</v>
      </c>
      <c r="M60" s="77">
        <v>0.07</v>
      </c>
      <c r="N60" s="77">
        <v>0.06</v>
      </c>
      <c r="O60" s="47"/>
    </row>
    <row r="61" spans="2:15" ht="15">
      <c r="B61" s="96" t="s">
        <v>133</v>
      </c>
      <c r="C61" s="46"/>
      <c r="D61" s="46"/>
      <c r="E61" s="17"/>
      <c r="F61" s="17">
        <v>1512</v>
      </c>
      <c r="G61" s="17">
        <v>2335</v>
      </c>
      <c r="H61" s="17">
        <v>3061</v>
      </c>
      <c r="I61" s="23">
        <v>3615</v>
      </c>
      <c r="J61" s="20">
        <f>I61*(1+J62)</f>
        <v>4157.25</v>
      </c>
      <c r="K61" s="20">
        <f>J61*(1+K62)</f>
        <v>4697.692499999999</v>
      </c>
      <c r="L61" s="20">
        <f>K61*(1+L62)</f>
        <v>5214.438674999999</v>
      </c>
      <c r="M61" s="20">
        <f>L61*(1+M62)</f>
        <v>5788.02692925</v>
      </c>
      <c r="N61" s="20">
        <f>M61*(1+N62)</f>
        <v>6424.709891467501</v>
      </c>
      <c r="O61" s="47"/>
    </row>
    <row r="62" spans="2:15" ht="15">
      <c r="B62" s="4" t="s">
        <v>123</v>
      </c>
      <c r="C62" s="46"/>
      <c r="D62" s="46"/>
      <c r="E62" s="17"/>
      <c r="F62" s="17"/>
      <c r="G62" s="75">
        <f>G61/F61-1</f>
        <v>0.5443121693121693</v>
      </c>
      <c r="H62" s="75">
        <f>H61/G61-1</f>
        <v>0.31092077087794423</v>
      </c>
      <c r="I62" s="76">
        <f>I61/H61-1</f>
        <v>0.18098660568441693</v>
      </c>
      <c r="J62" s="77">
        <v>0.15</v>
      </c>
      <c r="K62" s="77">
        <v>0.13</v>
      </c>
      <c r="L62" s="77">
        <v>0.11</v>
      </c>
      <c r="M62" s="77">
        <v>0.11</v>
      </c>
      <c r="N62" s="77">
        <v>0.11</v>
      </c>
      <c r="O62" s="47"/>
    </row>
    <row r="63" spans="2:15" ht="15">
      <c r="B63" s="96" t="s">
        <v>124</v>
      </c>
      <c r="C63" s="46"/>
      <c r="D63" s="46"/>
      <c r="E63" s="17">
        <v>1490</v>
      </c>
      <c r="F63" s="17">
        <v>1428</v>
      </c>
      <c r="G63" s="17">
        <v>1394</v>
      </c>
      <c r="H63" s="17">
        <v>1263</v>
      </c>
      <c r="I63" s="23">
        <v>1050</v>
      </c>
      <c r="J63" s="17">
        <v>913</v>
      </c>
      <c r="K63" s="17">
        <v>793</v>
      </c>
      <c r="L63" s="17">
        <v>710</v>
      </c>
      <c r="M63" s="17">
        <v>621</v>
      </c>
      <c r="N63" s="17">
        <v>420</v>
      </c>
      <c r="O63" s="47"/>
    </row>
    <row r="64" spans="2:15" ht="15">
      <c r="B64" s="4" t="s">
        <v>125</v>
      </c>
      <c r="C64" s="46"/>
      <c r="D64" s="46"/>
      <c r="E64" s="75"/>
      <c r="F64" s="75">
        <f>F22/E22-1</f>
        <v>-0.31058368620194765</v>
      </c>
      <c r="G64" s="75">
        <f>G22/F22-1</f>
        <v>0.2785424265363705</v>
      </c>
      <c r="H64" s="75">
        <f>H22/G22-1</f>
        <v>0.49635331162365093</v>
      </c>
      <c r="I64" s="76">
        <f>I22/H22-1</f>
        <v>-0.036951438848920826</v>
      </c>
      <c r="J64" s="77">
        <v>0.05</v>
      </c>
      <c r="K64" s="77">
        <v>0.05</v>
      </c>
      <c r="L64" s="77">
        <v>0.05</v>
      </c>
      <c r="M64" s="77">
        <v>0.05</v>
      </c>
      <c r="N64" s="77">
        <v>0.05</v>
      </c>
      <c r="O64" s="47"/>
    </row>
    <row r="65" spans="2:15" ht="15">
      <c r="B65" s="11"/>
      <c r="C65" s="46"/>
      <c r="D65" s="46"/>
      <c r="E65" s="75"/>
      <c r="F65" s="75"/>
      <c r="G65" s="75"/>
      <c r="H65" s="75"/>
      <c r="I65" s="76"/>
      <c r="J65" s="46"/>
      <c r="K65" s="46"/>
      <c r="L65" s="46"/>
      <c r="M65" s="46"/>
      <c r="N65" s="46"/>
      <c r="O65" s="47"/>
    </row>
    <row r="66" spans="2:15" ht="15">
      <c r="B66" s="2" t="s">
        <v>95</v>
      </c>
      <c r="C66" s="46"/>
      <c r="D66" s="46"/>
      <c r="E66" s="75"/>
      <c r="F66" s="75"/>
      <c r="G66" s="75"/>
      <c r="H66" s="75"/>
      <c r="I66" s="76"/>
      <c r="J66" s="46"/>
      <c r="K66" s="46"/>
      <c r="L66" s="46"/>
      <c r="M66" s="46"/>
      <c r="N66" s="46"/>
      <c r="O66" s="47"/>
    </row>
    <row r="67" spans="2:15" ht="15">
      <c r="B67" s="96" t="s">
        <v>126</v>
      </c>
      <c r="C67" s="46"/>
      <c r="D67" s="46"/>
      <c r="E67" s="75">
        <f>E14/E25</f>
        <v>0.7552338686573296</v>
      </c>
      <c r="F67" s="75">
        <f>F14/F25</f>
        <v>0.7563182151198833</v>
      </c>
      <c r="G67" s="75">
        <f>G14/G25</f>
        <v>0.7011669600717132</v>
      </c>
      <c r="H67" s="75">
        <f>H14/H25</f>
        <v>0.7380510999458028</v>
      </c>
      <c r="I67" s="76">
        <f>I14/I25</f>
        <v>0.6750642339297951</v>
      </c>
      <c r="J67" s="77">
        <v>0.74</v>
      </c>
      <c r="K67" s="77">
        <v>0.76</v>
      </c>
      <c r="L67" s="77">
        <v>0.75</v>
      </c>
      <c r="M67" s="77">
        <v>0.75</v>
      </c>
      <c r="N67" s="77">
        <v>0.75</v>
      </c>
      <c r="O67" s="47"/>
    </row>
    <row r="68" spans="2:15" ht="15">
      <c r="B68" s="4" t="s">
        <v>127</v>
      </c>
      <c r="C68" s="46"/>
      <c r="D68" s="46"/>
      <c r="E68" s="75">
        <f aca="true" t="shared" si="9" ref="E68:I69">E27/E$14</f>
        <v>0.03307423630793896</v>
      </c>
      <c r="F68" s="75">
        <f t="shared" si="9"/>
        <v>0.03901458622680993</v>
      </c>
      <c r="G68" s="75">
        <f t="shared" si="9"/>
        <v>0.09549188061011911</v>
      </c>
      <c r="H68" s="75">
        <f t="shared" si="9"/>
        <v>0.05080561365448692</v>
      </c>
      <c r="I68" s="76">
        <f t="shared" si="9"/>
        <v>0.06597753915808151</v>
      </c>
      <c r="J68" s="77">
        <v>0.065</v>
      </c>
      <c r="K68" s="77">
        <v>0.06</v>
      </c>
      <c r="L68" s="77">
        <v>0.055</v>
      </c>
      <c r="M68" s="77">
        <v>0.05</v>
      </c>
      <c r="N68" s="77">
        <v>0.05</v>
      </c>
      <c r="O68" s="47"/>
    </row>
    <row r="69" spans="2:15" ht="15">
      <c r="B69" s="4" t="s">
        <v>128</v>
      </c>
      <c r="C69" s="46"/>
      <c r="D69" s="46"/>
      <c r="E69" s="75">
        <f t="shared" si="9"/>
        <v>0.02500071573763921</v>
      </c>
      <c r="F69" s="75">
        <f t="shared" si="9"/>
        <v>0.037366986320367106</v>
      </c>
      <c r="G69" s="75">
        <f t="shared" si="9"/>
        <v>0.055518759121557876</v>
      </c>
      <c r="H69" s="75">
        <f t="shared" si="9"/>
        <v>0.177742456014112</v>
      </c>
      <c r="I69" s="76">
        <f t="shared" si="9"/>
        <v>0.08799320554796056</v>
      </c>
      <c r="J69" s="77">
        <v>0.08</v>
      </c>
      <c r="K69" s="77">
        <v>0.07</v>
      </c>
      <c r="L69" s="77">
        <v>0.06</v>
      </c>
      <c r="M69" s="77">
        <v>0.05</v>
      </c>
      <c r="N69" s="77">
        <v>0.04</v>
      </c>
      <c r="O69" s="47"/>
    </row>
    <row r="70" spans="2:15" ht="15">
      <c r="B70" s="4" t="s">
        <v>129</v>
      </c>
      <c r="C70" s="46"/>
      <c r="D70" s="46"/>
      <c r="E70" s="75">
        <f>E29/E11</f>
        <v>0.48907925208712466</v>
      </c>
      <c r="F70" s="75">
        <f>F29/F11</f>
        <v>0.40454368974511806</v>
      </c>
      <c r="G70" s="75">
        <f>G29/G11</f>
        <v>0.32125378249075615</v>
      </c>
      <c r="H70" s="75">
        <f>H29/H11</f>
        <v>0.32722267212828665</v>
      </c>
      <c r="I70" s="76">
        <f>I29/I11</f>
        <v>0.3042142593061042</v>
      </c>
      <c r="J70" s="77">
        <v>0.32</v>
      </c>
      <c r="K70" s="77">
        <v>0.34</v>
      </c>
      <c r="L70" s="77">
        <v>0.36</v>
      </c>
      <c r="M70" s="77">
        <v>0.38</v>
      </c>
      <c r="N70" s="77">
        <v>0.4</v>
      </c>
      <c r="O70" s="47"/>
    </row>
    <row r="71" spans="2:15" ht="15">
      <c r="B71" s="4" t="s">
        <v>130</v>
      </c>
      <c r="C71" s="46"/>
      <c r="D71" s="46"/>
      <c r="E71" s="75">
        <f>E30/E$14</f>
        <v>0.1871892505749759</v>
      </c>
      <c r="F71" s="75">
        <f>F30/F$14</f>
        <v>0.18234542884169172</v>
      </c>
      <c r="G71" s="75">
        <f>G30/G$14</f>
        <v>0.18190359933304323</v>
      </c>
      <c r="H71" s="75">
        <f>H30/H$14</f>
        <v>0.2523540135696431</v>
      </c>
      <c r="I71" s="76">
        <f>I30/I$14</f>
        <v>0.2568378645466629</v>
      </c>
      <c r="J71" s="77">
        <v>0.24</v>
      </c>
      <c r="K71" s="77">
        <v>0.22</v>
      </c>
      <c r="L71" s="77">
        <v>0.2</v>
      </c>
      <c r="M71" s="77">
        <v>0.18</v>
      </c>
      <c r="N71" s="77">
        <v>0.18</v>
      </c>
      <c r="O71" s="47"/>
    </row>
    <row r="72" spans="2:15" ht="15">
      <c r="B72" s="4" t="s">
        <v>131</v>
      </c>
      <c r="C72" s="46"/>
      <c r="D72" s="46"/>
      <c r="E72" s="75">
        <f>E32/E$14</f>
        <v>0.25851727790661055</v>
      </c>
      <c r="F72" s="75">
        <f>F32/F$14</f>
        <v>0.2761613405998837</v>
      </c>
      <c r="G72" s="75">
        <f>G32/G$14</f>
        <v>0.3540069391228671</v>
      </c>
      <c r="H72" s="75">
        <f>H32/H$14</f>
        <v>0.36338263762286915</v>
      </c>
      <c r="I72" s="76">
        <f>I32/I$14</f>
        <v>0.4204193490334008</v>
      </c>
      <c r="J72" s="77">
        <v>0.4</v>
      </c>
      <c r="K72" s="77">
        <v>0.38</v>
      </c>
      <c r="L72" s="77">
        <v>0.36</v>
      </c>
      <c r="M72" s="77">
        <v>0.34</v>
      </c>
      <c r="N72" s="77">
        <v>0.32</v>
      </c>
      <c r="O72" s="47"/>
    </row>
    <row r="73" spans="2:15" ht="15">
      <c r="B73" s="4"/>
      <c r="C73" s="46"/>
      <c r="D73" s="46"/>
      <c r="E73" s="75"/>
      <c r="F73" s="75"/>
      <c r="G73" s="75"/>
      <c r="H73" s="75"/>
      <c r="I73" s="76"/>
      <c r="J73" s="46"/>
      <c r="K73" s="46"/>
      <c r="L73" s="46"/>
      <c r="M73" s="46"/>
      <c r="N73" s="46"/>
      <c r="O73" s="47"/>
    </row>
    <row r="74" spans="2:15" ht="15">
      <c r="B74" s="84" t="s">
        <v>132</v>
      </c>
      <c r="C74" s="46"/>
      <c r="D74" s="46"/>
      <c r="E74" s="75"/>
      <c r="F74" s="75"/>
      <c r="G74" s="75"/>
      <c r="H74" s="75"/>
      <c r="I74" s="76"/>
      <c r="J74" s="46"/>
      <c r="K74" s="46"/>
      <c r="L74" s="46"/>
      <c r="M74" s="46"/>
      <c r="N74" s="46"/>
      <c r="O74" s="47"/>
    </row>
    <row r="75" spans="2:15" ht="15">
      <c r="B75" s="4" t="s">
        <v>258</v>
      </c>
      <c r="C75" s="46"/>
      <c r="D75" s="46"/>
      <c r="E75" s="46"/>
      <c r="F75" s="46"/>
      <c r="G75" s="46"/>
      <c r="H75" s="46"/>
      <c r="I75" s="25"/>
      <c r="J75" s="20">
        <f>SUM(J16:J22)+SUM(J10:J12)+SUM(J7:J8)+I9</f>
        <v>2038056.10186686</v>
      </c>
      <c r="K75" s="20">
        <f>SUM(K16:K22)+SUM(K10:K12)+SUM(K7:K8)+J9</f>
        <v>2057264.2009828642</v>
      </c>
      <c r="L75" s="20">
        <f>SUM(L16:L22)+SUM(L10:L12)+SUM(L7:L8)+K9</f>
        <v>2116450.669790876</v>
      </c>
      <c r="M75" s="20">
        <f>SUM(M16:M22)+SUM(M10:M12)+SUM(M7:M8)+L9</f>
        <v>2228529.128092178</v>
      </c>
      <c r="N75" s="20">
        <f>SUM(N16:N22)+SUM(N10:N12)+SUM(N7:N8)+M9</f>
        <v>2344012.6063048188</v>
      </c>
      <c r="O75" s="47"/>
    </row>
    <row r="76" spans="2:15" ht="15">
      <c r="B76" s="4" t="s">
        <v>259</v>
      </c>
      <c r="C76" s="46"/>
      <c r="D76" s="46"/>
      <c r="E76" s="46"/>
      <c r="F76" s="46"/>
      <c r="G76" s="46"/>
      <c r="H76" s="46"/>
      <c r="I76" s="25"/>
      <c r="J76" s="20">
        <f>SUM(J37:J43)+SUM(J27:J33)+J25+I26</f>
        <v>2020736.9247368646</v>
      </c>
      <c r="K76" s="20">
        <f>SUM(K37:K43)+SUM(K27:K33)+K25+J26</f>
        <v>2075430.9254480463</v>
      </c>
      <c r="L76" s="20">
        <f>SUM(L37:L43)+SUM(L27:L33)+L25+K26</f>
        <v>2160814.205834076</v>
      </c>
      <c r="M76" s="20">
        <f>SUM(M37:M43)+SUM(M27:M33)+M25+L26</f>
        <v>2219181.447966153</v>
      </c>
      <c r="N76" s="20">
        <f>SUM(N37:N43)+SUM(N27:N33)+N25+M26</f>
        <v>2323414.3842197685</v>
      </c>
      <c r="O76" s="47"/>
    </row>
    <row r="77" spans="2:15" ht="15">
      <c r="B77" s="4" t="s">
        <v>260</v>
      </c>
      <c r="C77" s="46"/>
      <c r="D77" s="46"/>
      <c r="E77" s="46"/>
      <c r="F77" s="79">
        <f>F9-E9</f>
        <v>6543</v>
      </c>
      <c r="G77" s="79">
        <f>G9-F9</f>
        <v>30373</v>
      </c>
      <c r="H77" s="79">
        <f>H9-G9</f>
        <v>32218</v>
      </c>
      <c r="I77" s="80">
        <f>I9-H9</f>
        <v>-7711</v>
      </c>
      <c r="J77" s="20">
        <f>IF(J76&gt;J75,J76-J75,0)</f>
        <v>0</v>
      </c>
      <c r="K77" s="20">
        <f>IF(K76&gt;K75,K76-K75,0)</f>
        <v>18166.72446518205</v>
      </c>
      <c r="L77" s="20">
        <f>IF(L76&gt;L75,L76-L75,0)</f>
        <v>44363.53604319971</v>
      </c>
      <c r="M77" s="20">
        <f>IF(M76&gt;M75,M76-M75,0)</f>
        <v>0</v>
      </c>
      <c r="N77" s="20">
        <f>IF(N76&gt;N75,N76-N75,0)</f>
        <v>0</v>
      </c>
      <c r="O77" s="47"/>
    </row>
    <row r="78" spans="2:15" ht="15">
      <c r="B78" s="88" t="s">
        <v>261</v>
      </c>
      <c r="C78" s="48"/>
      <c r="D78" s="48"/>
      <c r="E78" s="48"/>
      <c r="F78" s="100">
        <f>F26-E26</f>
        <v>36248</v>
      </c>
      <c r="G78" s="100">
        <f>G26-F26</f>
        <v>-7775</v>
      </c>
      <c r="H78" s="100">
        <f>H26-G26</f>
        <v>38148</v>
      </c>
      <c r="I78" s="101">
        <f>I26-H26</f>
        <v>68867</v>
      </c>
      <c r="J78" s="102">
        <f>IF(J75&gt;J76,J75-J76,0)</f>
        <v>17319.17712999531</v>
      </c>
      <c r="K78" s="102">
        <f>IF(K75&gt;K76,K75-K76,0)</f>
        <v>0</v>
      </c>
      <c r="L78" s="102">
        <f>IF(L75&gt;L76,L75-L76,0)</f>
        <v>0</v>
      </c>
      <c r="M78" s="102">
        <f>IF(M75&gt;M76,M75-M76,0)</f>
        <v>9347.680126025341</v>
      </c>
      <c r="N78" s="102">
        <f>IF(N75&gt;N76,N75-N76,0)</f>
        <v>20598.222085050307</v>
      </c>
      <c r="O78" s="49"/>
    </row>
    <row r="80" spans="2:15" ht="15">
      <c r="B80" s="42" t="str">
        <f>Company_Name&amp;" - Interest-Earning Assets (IEA) and Interest-Bearing Liabilities (IBL)"</f>
        <v>JPMorgan Chase &amp; Co. - Interest-Earning Assets (IEA) and Interest-Bearing Liabilities (IBL)</v>
      </c>
      <c r="C80" s="50"/>
      <c r="D80" s="50"/>
      <c r="E80" s="50"/>
      <c r="F80" s="50"/>
      <c r="G80" s="51"/>
      <c r="H80" s="51"/>
      <c r="I80" s="51"/>
      <c r="J80" s="51"/>
      <c r="K80" s="51"/>
      <c r="L80" s="51"/>
      <c r="M80" s="51"/>
      <c r="N80" s="51"/>
      <c r="O80" s="52"/>
    </row>
    <row r="81" spans="2:15" ht="15">
      <c r="B81" s="11" t="str">
        <f>Loans!$B$3</f>
        <v>($ in Millions)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7"/>
    </row>
    <row r="82" spans="2:15" ht="15">
      <c r="B82" s="11"/>
      <c r="C82" s="46"/>
      <c r="D82" s="46"/>
      <c r="E82" s="13" t="str">
        <f>LLRs!$E$4</f>
        <v>Historical</v>
      </c>
      <c r="F82" s="13"/>
      <c r="G82" s="13"/>
      <c r="H82" s="13"/>
      <c r="I82" s="13"/>
      <c r="J82" s="12" t="str">
        <f>LLRs!$J$4</f>
        <v>Projected</v>
      </c>
      <c r="K82" s="12"/>
      <c r="L82" s="12"/>
      <c r="M82" s="12"/>
      <c r="N82" s="12"/>
      <c r="O82" s="47"/>
    </row>
    <row r="83" spans="2:15" ht="15">
      <c r="B83" s="14" t="str">
        <f>Loans!$B$5</f>
        <v>December 31, </v>
      </c>
      <c r="C83" s="48"/>
      <c r="D83" s="48"/>
      <c r="E83" s="69">
        <f>Loans!$E$5</f>
        <v>2005</v>
      </c>
      <c r="F83" s="69">
        <f>Loans!$F$5</f>
        <v>2006</v>
      </c>
      <c r="G83" s="69">
        <f>Loans!$G$5</f>
        <v>2007</v>
      </c>
      <c r="H83" s="69">
        <f>Loans!$H$5</f>
        <v>2008</v>
      </c>
      <c r="I83" s="70">
        <f>Loans!$I$5</f>
        <v>2009</v>
      </c>
      <c r="J83" s="15">
        <f>Loans!$J$5</f>
        <v>2010</v>
      </c>
      <c r="K83" s="15">
        <f>Loans!$K$5</f>
        <v>2011</v>
      </c>
      <c r="L83" s="15">
        <f>Loans!$L$5</f>
        <v>2012</v>
      </c>
      <c r="M83" s="15">
        <f>Loans!$M$5</f>
        <v>2013</v>
      </c>
      <c r="N83" s="15">
        <f>Loans!$N$5</f>
        <v>2014</v>
      </c>
      <c r="O83" s="47"/>
    </row>
    <row r="84" spans="2:15" ht="15">
      <c r="B84" s="92" t="s">
        <v>78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47"/>
    </row>
    <row r="85" spans="2:15" ht="15">
      <c r="B85" s="4" t="s">
        <v>80</v>
      </c>
      <c r="C85" s="46"/>
      <c r="D85" s="46"/>
      <c r="E85" s="19">
        <f aca="true" t="shared" si="10" ref="E85:I87">E8</f>
        <v>21661</v>
      </c>
      <c r="F85" s="19">
        <f t="shared" si="10"/>
        <v>13547</v>
      </c>
      <c r="G85" s="19">
        <f t="shared" si="10"/>
        <v>11466</v>
      </c>
      <c r="H85" s="19">
        <f t="shared" si="10"/>
        <v>138139</v>
      </c>
      <c r="I85" s="72">
        <f t="shared" si="10"/>
        <v>63230</v>
      </c>
      <c r="J85" s="19">
        <f aca="true" t="shared" si="11" ref="J85:N87">J8</f>
        <v>59140.95718989865</v>
      </c>
      <c r="K85" s="19">
        <f t="shared" si="11"/>
        <v>55929.65570845066</v>
      </c>
      <c r="L85" s="19">
        <f t="shared" si="11"/>
        <v>49787.446877551265</v>
      </c>
      <c r="M85" s="19">
        <f t="shared" si="11"/>
        <v>41336.46673150506</v>
      </c>
      <c r="N85" s="19">
        <f t="shared" si="11"/>
        <v>32323.642401119218</v>
      </c>
      <c r="O85" s="47"/>
    </row>
    <row r="86" spans="2:15" ht="15">
      <c r="B86" s="4" t="s">
        <v>81</v>
      </c>
      <c r="C86" s="46"/>
      <c r="D86" s="46"/>
      <c r="E86" s="20">
        <f t="shared" si="10"/>
        <v>133981</v>
      </c>
      <c r="F86" s="20">
        <f t="shared" si="10"/>
        <v>140524</v>
      </c>
      <c r="G86" s="20">
        <f t="shared" si="10"/>
        <v>170897</v>
      </c>
      <c r="H86" s="20">
        <f t="shared" si="10"/>
        <v>203115</v>
      </c>
      <c r="I86" s="24">
        <f t="shared" si="10"/>
        <v>195404</v>
      </c>
      <c r="J86" s="20">
        <f t="shared" si="11"/>
        <v>195404</v>
      </c>
      <c r="K86" s="20">
        <f t="shared" si="11"/>
        <v>213570.72446518205</v>
      </c>
      <c r="L86" s="20">
        <f t="shared" si="11"/>
        <v>257934.26050837757</v>
      </c>
      <c r="M86" s="20">
        <f t="shared" si="11"/>
        <v>257934.26050837757</v>
      </c>
      <c r="N86" s="20">
        <f t="shared" si="11"/>
        <v>257934.26050837757</v>
      </c>
      <c r="O86" s="47"/>
    </row>
    <row r="87" spans="2:15" ht="15">
      <c r="B87" s="4" t="s">
        <v>82</v>
      </c>
      <c r="C87" s="46"/>
      <c r="D87" s="46"/>
      <c r="E87" s="20">
        <f t="shared" si="10"/>
        <v>74604</v>
      </c>
      <c r="F87" s="20">
        <f t="shared" si="10"/>
        <v>73688</v>
      </c>
      <c r="G87" s="20">
        <f t="shared" si="10"/>
        <v>84184</v>
      </c>
      <c r="H87" s="20">
        <f t="shared" si="10"/>
        <v>124000</v>
      </c>
      <c r="I87" s="24">
        <f t="shared" si="10"/>
        <v>119630</v>
      </c>
      <c r="J87" s="20">
        <f t="shared" si="11"/>
        <v>126136.49999999999</v>
      </c>
      <c r="K87" s="20">
        <f t="shared" si="11"/>
        <v>136948.2</v>
      </c>
      <c r="L87" s="20">
        <f t="shared" si="11"/>
        <v>146363.38874999998</v>
      </c>
      <c r="M87" s="20">
        <f t="shared" si="11"/>
        <v>162625.9875</v>
      </c>
      <c r="N87" s="20">
        <f t="shared" si="11"/>
        <v>187833.01556250002</v>
      </c>
      <c r="O87" s="47"/>
    </row>
    <row r="88" spans="2:15" ht="15">
      <c r="B88" s="4" t="s">
        <v>134</v>
      </c>
      <c r="C88" s="46"/>
      <c r="D88" s="46"/>
      <c r="E88" s="17">
        <v>187615</v>
      </c>
      <c r="F88" s="17">
        <v>205506</v>
      </c>
      <c r="G88" s="17">
        <v>292846</v>
      </c>
      <c r="H88" s="17">
        <v>298266</v>
      </c>
      <c r="I88" s="23">
        <v>251035</v>
      </c>
      <c r="J88" s="20">
        <f>J11*J105</f>
        <v>222009.12</v>
      </c>
      <c r="K88" s="20">
        <f>K11*K105</f>
        <v>210908.664</v>
      </c>
      <c r="L88" s="20">
        <f>L11*L105</f>
        <v>210908.664</v>
      </c>
      <c r="M88" s="20">
        <f>M11*M105</f>
        <v>221454.0972</v>
      </c>
      <c r="N88" s="20">
        <f>N11*N105</f>
        <v>243599.50692</v>
      </c>
      <c r="O88" s="47"/>
    </row>
    <row r="89" spans="2:15" ht="15">
      <c r="B89" s="4" t="s">
        <v>84</v>
      </c>
      <c r="C89" s="46"/>
      <c r="D89" s="46"/>
      <c r="E89" s="20">
        <f aca="true" t="shared" si="12" ref="E89:N89">E12</f>
        <v>47600</v>
      </c>
      <c r="F89" s="20">
        <f t="shared" si="12"/>
        <v>91975</v>
      </c>
      <c r="G89" s="20">
        <f t="shared" si="12"/>
        <v>85450</v>
      </c>
      <c r="H89" s="20">
        <f t="shared" si="12"/>
        <v>205943</v>
      </c>
      <c r="I89" s="24">
        <f t="shared" si="12"/>
        <v>360390</v>
      </c>
      <c r="J89" s="20">
        <f t="shared" si="12"/>
        <v>360390</v>
      </c>
      <c r="K89" s="20">
        <f t="shared" si="12"/>
        <v>342370.5</v>
      </c>
      <c r="L89" s="20">
        <f t="shared" si="12"/>
        <v>325251.975</v>
      </c>
      <c r="M89" s="20">
        <f t="shared" si="12"/>
        <v>325251.975</v>
      </c>
      <c r="N89" s="20">
        <f t="shared" si="12"/>
        <v>341514.57375</v>
      </c>
      <c r="O89" s="47"/>
    </row>
    <row r="90" spans="2:15" ht="15">
      <c r="B90" s="4" t="s">
        <v>85</v>
      </c>
      <c r="C90" s="46"/>
      <c r="D90" s="46"/>
      <c r="E90" s="20">
        <f aca="true" t="shared" si="13" ref="E90:N90">E14</f>
        <v>419148</v>
      </c>
      <c r="F90" s="20">
        <f t="shared" si="13"/>
        <v>483127</v>
      </c>
      <c r="G90" s="20">
        <f t="shared" si="13"/>
        <v>519374</v>
      </c>
      <c r="H90" s="20">
        <f t="shared" si="13"/>
        <v>744898</v>
      </c>
      <c r="I90" s="24">
        <f t="shared" si="13"/>
        <v>633458</v>
      </c>
      <c r="J90" s="20">
        <f t="shared" si="13"/>
        <v>673297.0510849999</v>
      </c>
      <c r="K90" s="20">
        <f t="shared" si="13"/>
        <v>708442.305640375</v>
      </c>
      <c r="L90" s="20">
        <f t="shared" si="13"/>
        <v>746811.7031632689</v>
      </c>
      <c r="M90" s="20">
        <f t="shared" si="13"/>
        <v>775058.75121572</v>
      </c>
      <c r="N90" s="20">
        <f t="shared" si="13"/>
        <v>808091.0600279805</v>
      </c>
      <c r="O90" s="47"/>
    </row>
    <row r="91" spans="2:15" ht="15">
      <c r="B91" s="96" t="s">
        <v>152</v>
      </c>
      <c r="C91" s="46"/>
      <c r="D91" s="46"/>
      <c r="E91" s="17">
        <v>0</v>
      </c>
      <c r="F91" s="17">
        <v>0</v>
      </c>
      <c r="G91" s="17">
        <v>0</v>
      </c>
      <c r="H91" s="17">
        <v>27404</v>
      </c>
      <c r="I91" s="23">
        <v>29510</v>
      </c>
      <c r="J91" s="79">
        <f>J22*J106</f>
        <v>28111.3875</v>
      </c>
      <c r="K91" s="79">
        <f>K22*K106</f>
        <v>29516.956875000003</v>
      </c>
      <c r="L91" s="79">
        <f>L22*L106</f>
        <v>30992.804718750005</v>
      </c>
      <c r="M91" s="79">
        <f>M22*M106</f>
        <v>32542.444954687508</v>
      </c>
      <c r="N91" s="79">
        <f>N22*N106</f>
        <v>34169.56720242189</v>
      </c>
      <c r="O91" s="47"/>
    </row>
    <row r="92" spans="2:15" ht="15">
      <c r="B92" s="28" t="s">
        <v>135</v>
      </c>
      <c r="C92" s="64"/>
      <c r="D92" s="64"/>
      <c r="E92" s="27">
        <f aca="true" t="shared" si="14" ref="E92:N92">SUM(E85:E91)</f>
        <v>884609</v>
      </c>
      <c r="F92" s="27">
        <f t="shared" si="14"/>
        <v>1008367</v>
      </c>
      <c r="G92" s="27">
        <f t="shared" si="14"/>
        <v>1164217</v>
      </c>
      <c r="H92" s="27">
        <f t="shared" si="14"/>
        <v>1741765</v>
      </c>
      <c r="I92" s="27">
        <f t="shared" si="14"/>
        <v>1652657</v>
      </c>
      <c r="J92" s="27">
        <f t="shared" si="14"/>
        <v>1664489.0157748985</v>
      </c>
      <c r="K92" s="27">
        <f t="shared" si="14"/>
        <v>1697687.0066890076</v>
      </c>
      <c r="L92" s="27">
        <f t="shared" si="14"/>
        <v>1768050.2430179478</v>
      </c>
      <c r="M92" s="27">
        <f t="shared" si="14"/>
        <v>1816203.98311029</v>
      </c>
      <c r="N92" s="27">
        <f t="shared" si="14"/>
        <v>1905465.626372399</v>
      </c>
      <c r="O92" s="47"/>
    </row>
    <row r="93" spans="2:15" ht="15">
      <c r="B93" s="28" t="s">
        <v>136</v>
      </c>
      <c r="C93" s="64"/>
      <c r="D93" s="64"/>
      <c r="E93" s="103">
        <v>899096</v>
      </c>
      <c r="F93" s="103">
        <v>995506</v>
      </c>
      <c r="G93" s="103">
        <v>1118574</v>
      </c>
      <c r="H93" s="103">
        <v>1373292</v>
      </c>
      <c r="I93" s="103">
        <v>1650488</v>
      </c>
      <c r="J93" s="27">
        <f>AVERAGE(I92,J92)</f>
        <v>1658573.007887449</v>
      </c>
      <c r="K93" s="27">
        <f>AVERAGE(J92,K92)</f>
        <v>1681088.011231953</v>
      </c>
      <c r="L93" s="27">
        <f>AVERAGE(K92,L92)</f>
        <v>1732868.6248534778</v>
      </c>
      <c r="M93" s="27">
        <f>AVERAGE(L92,M92)</f>
        <v>1792127.113064119</v>
      </c>
      <c r="N93" s="27">
        <f>AVERAGE(M92,N92)</f>
        <v>1860834.8047413444</v>
      </c>
      <c r="O93" s="47"/>
    </row>
    <row r="94" spans="2:15" ht="15">
      <c r="B94" s="1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7"/>
    </row>
    <row r="95" spans="2:15" ht="15">
      <c r="B95" s="92" t="s">
        <v>95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47"/>
    </row>
    <row r="96" spans="2:15" ht="15">
      <c r="B96" s="4" t="s">
        <v>137</v>
      </c>
      <c r="C96" s="46"/>
      <c r="D96" s="46"/>
      <c r="E96" s="16">
        <v>383259</v>
      </c>
      <c r="F96" s="16">
        <v>452323</v>
      </c>
      <c r="G96" s="16">
        <v>535359</v>
      </c>
      <c r="H96" s="16">
        <v>645058</v>
      </c>
      <c r="I96" s="22">
        <v>684016</v>
      </c>
      <c r="J96" s="19">
        <f>J25*J107</f>
        <v>636902.6158912161</v>
      </c>
      <c r="K96" s="19">
        <f>K25*K107</f>
        <v>652512.6499319243</v>
      </c>
      <c r="L96" s="19">
        <f>L25*L107</f>
        <v>697024.2562857176</v>
      </c>
      <c r="M96" s="19">
        <f>M25*M107</f>
        <v>723388.1678013386</v>
      </c>
      <c r="N96" s="19">
        <f>N25*N107</f>
        <v>754218.3226927817</v>
      </c>
      <c r="O96" s="47"/>
    </row>
    <row r="97" spans="2:15" ht="15">
      <c r="B97" s="4" t="s">
        <v>97</v>
      </c>
      <c r="C97" s="46"/>
      <c r="D97" s="46"/>
      <c r="E97" s="20">
        <f aca="true" t="shared" si="15" ref="E97:I98">E26</f>
        <v>125925</v>
      </c>
      <c r="F97" s="20">
        <f t="shared" si="15"/>
        <v>162173</v>
      </c>
      <c r="G97" s="20">
        <f t="shared" si="15"/>
        <v>154398</v>
      </c>
      <c r="H97" s="20">
        <f t="shared" si="15"/>
        <v>192546</v>
      </c>
      <c r="I97" s="24">
        <f t="shared" si="15"/>
        <v>261413</v>
      </c>
      <c r="J97" s="20">
        <f aca="true" t="shared" si="16" ref="J97:N98">J26</f>
        <v>278732.1771299953</v>
      </c>
      <c r="K97" s="20">
        <f t="shared" si="16"/>
        <v>278732.1771299953</v>
      </c>
      <c r="L97" s="20">
        <f t="shared" si="16"/>
        <v>278732.1771299953</v>
      </c>
      <c r="M97" s="20">
        <f t="shared" si="16"/>
        <v>288079.8572560672</v>
      </c>
      <c r="N97" s="20">
        <f t="shared" si="16"/>
        <v>308678.0793434314</v>
      </c>
      <c r="O97" s="47"/>
    </row>
    <row r="98" spans="2:15" ht="15">
      <c r="B98" s="4" t="s">
        <v>98</v>
      </c>
      <c r="C98" s="46"/>
      <c r="D98" s="46"/>
      <c r="E98" s="20">
        <f t="shared" si="15"/>
        <v>13863</v>
      </c>
      <c r="F98" s="20">
        <f t="shared" si="15"/>
        <v>18849</v>
      </c>
      <c r="G98" s="20">
        <f t="shared" si="15"/>
        <v>49596</v>
      </c>
      <c r="H98" s="20">
        <f t="shared" si="15"/>
        <v>37845</v>
      </c>
      <c r="I98" s="24">
        <f t="shared" si="15"/>
        <v>41794</v>
      </c>
      <c r="J98" s="20">
        <f t="shared" si="16"/>
        <v>43764.30832052499</v>
      </c>
      <c r="K98" s="20">
        <f t="shared" si="16"/>
        <v>42506.5383384225</v>
      </c>
      <c r="L98" s="20">
        <f t="shared" si="16"/>
        <v>41074.64367397979</v>
      </c>
      <c r="M98" s="20">
        <f t="shared" si="16"/>
        <v>38752.937560786</v>
      </c>
      <c r="N98" s="20">
        <f t="shared" si="16"/>
        <v>40404.55300139903</v>
      </c>
      <c r="O98" s="47"/>
    </row>
    <row r="99" spans="2:15" ht="15">
      <c r="B99" s="4" t="s">
        <v>138</v>
      </c>
      <c r="C99" s="46"/>
      <c r="D99" s="46"/>
      <c r="E99" s="17">
        <v>93765</v>
      </c>
      <c r="F99" s="17">
        <v>102147</v>
      </c>
      <c r="G99" s="17">
        <v>100181</v>
      </c>
      <c r="H99" s="17">
        <v>161555</v>
      </c>
      <c r="I99" s="23">
        <v>201182</v>
      </c>
      <c r="J99" s="20">
        <f>(J28+J30)*J109</f>
        <v>193909.55071247998</v>
      </c>
      <c r="K99" s="20">
        <f>(K28+K30)*K109</f>
        <v>184903.4417721379</v>
      </c>
      <c r="L99" s="20">
        <f>(L28+L30)*L109</f>
        <v>174753.93854020492</v>
      </c>
      <c r="M99" s="20">
        <f>(M28+M30)*M109</f>
        <v>160437.16150165405</v>
      </c>
      <c r="N99" s="20">
        <f>(N28+N30)*N109</f>
        <v>160002.02988554013</v>
      </c>
      <c r="O99" s="47"/>
    </row>
    <row r="100" spans="2:15" ht="15">
      <c r="B100" s="4" t="s">
        <v>102</v>
      </c>
      <c r="C100" s="46"/>
      <c r="D100" s="46"/>
      <c r="E100" s="20">
        <f aca="true" t="shared" si="17" ref="E100:I101">E31</f>
        <v>42197</v>
      </c>
      <c r="F100" s="20">
        <f t="shared" si="17"/>
        <v>16184</v>
      </c>
      <c r="G100" s="20">
        <f t="shared" si="17"/>
        <v>14016</v>
      </c>
      <c r="H100" s="20">
        <f t="shared" si="17"/>
        <v>10561</v>
      </c>
      <c r="I100" s="24">
        <f t="shared" si="17"/>
        <v>15225</v>
      </c>
      <c r="J100" s="20">
        <f aca="true" t="shared" si="18" ref="J100:N101">J31</f>
        <v>15225</v>
      </c>
      <c r="K100" s="20">
        <f t="shared" si="18"/>
        <v>15225</v>
      </c>
      <c r="L100" s="20">
        <f t="shared" si="18"/>
        <v>15225</v>
      </c>
      <c r="M100" s="20">
        <f t="shared" si="18"/>
        <v>15225</v>
      </c>
      <c r="N100" s="20">
        <f t="shared" si="18"/>
        <v>15225</v>
      </c>
      <c r="O100" s="47"/>
    </row>
    <row r="101" spans="2:15" ht="15">
      <c r="B101" s="4" t="s">
        <v>103</v>
      </c>
      <c r="C101" s="46"/>
      <c r="D101" s="46"/>
      <c r="E101" s="20">
        <f t="shared" si="17"/>
        <v>108357</v>
      </c>
      <c r="F101" s="20">
        <f t="shared" si="17"/>
        <v>133421</v>
      </c>
      <c r="G101" s="20">
        <f t="shared" si="17"/>
        <v>183862</v>
      </c>
      <c r="H101" s="20">
        <f t="shared" si="17"/>
        <v>270683</v>
      </c>
      <c r="I101" s="24">
        <f t="shared" si="17"/>
        <v>266318</v>
      </c>
      <c r="J101" s="20">
        <f t="shared" si="18"/>
        <v>269318.820434</v>
      </c>
      <c r="K101" s="20">
        <f t="shared" si="18"/>
        <v>269208.0761433425</v>
      </c>
      <c r="L101" s="20">
        <f t="shared" si="18"/>
        <v>268852.2131387768</v>
      </c>
      <c r="M101" s="20">
        <f t="shared" si="18"/>
        <v>263519.9754133448</v>
      </c>
      <c r="N101" s="20">
        <f t="shared" si="18"/>
        <v>258589.13920895377</v>
      </c>
      <c r="O101" s="47"/>
    </row>
    <row r="102" spans="2:15" ht="15">
      <c r="B102" s="28" t="s">
        <v>139</v>
      </c>
      <c r="C102" s="64"/>
      <c r="D102" s="64"/>
      <c r="E102" s="27">
        <f aca="true" t="shared" si="19" ref="E102:N102">SUM(E96:E101)</f>
        <v>767366</v>
      </c>
      <c r="F102" s="27">
        <f t="shared" si="19"/>
        <v>885097</v>
      </c>
      <c r="G102" s="27">
        <f t="shared" si="19"/>
        <v>1037412</v>
      </c>
      <c r="H102" s="27">
        <f t="shared" si="19"/>
        <v>1318248</v>
      </c>
      <c r="I102" s="27">
        <f t="shared" si="19"/>
        <v>1469948</v>
      </c>
      <c r="J102" s="27">
        <f t="shared" si="19"/>
        <v>1437852.4724882161</v>
      </c>
      <c r="K102" s="27">
        <f t="shared" si="19"/>
        <v>1443087.8833158226</v>
      </c>
      <c r="L102" s="27">
        <f t="shared" si="19"/>
        <v>1475662.2287686744</v>
      </c>
      <c r="M102" s="27">
        <f t="shared" si="19"/>
        <v>1489403.0995331905</v>
      </c>
      <c r="N102" s="27">
        <f t="shared" si="19"/>
        <v>1537117.124132106</v>
      </c>
      <c r="O102" s="47"/>
    </row>
    <row r="103" spans="2:15" ht="15">
      <c r="B103" s="28" t="s">
        <v>140</v>
      </c>
      <c r="C103" s="64"/>
      <c r="D103" s="64"/>
      <c r="E103" s="103">
        <v>803337</v>
      </c>
      <c r="F103" s="103">
        <v>914282</v>
      </c>
      <c r="G103" s="103">
        <v>1047608</v>
      </c>
      <c r="H103" s="103">
        <v>1297215</v>
      </c>
      <c r="I103" s="103">
        <v>1483283</v>
      </c>
      <c r="J103" s="27">
        <f>AVERAGE(I102,J102)</f>
        <v>1453900.236244108</v>
      </c>
      <c r="K103" s="27">
        <f>AVERAGE(J102,K102)</f>
        <v>1440470.1779020193</v>
      </c>
      <c r="L103" s="27">
        <f>AVERAGE(K102,L102)</f>
        <v>1459375.0560422484</v>
      </c>
      <c r="M103" s="27">
        <f>AVERAGE(L102,M102)</f>
        <v>1482532.6641509323</v>
      </c>
      <c r="N103" s="27">
        <f>AVERAGE(M102,N102)</f>
        <v>1513260.1118326483</v>
      </c>
      <c r="O103" s="47"/>
    </row>
    <row r="104" spans="2:15" ht="15">
      <c r="B104" s="11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7"/>
    </row>
    <row r="105" spans="2:15" ht="15">
      <c r="B105" s="11" t="s">
        <v>141</v>
      </c>
      <c r="C105" s="46"/>
      <c r="D105" s="46"/>
      <c r="E105" s="81">
        <f>E88/E11</f>
        <v>0.6287850605106962</v>
      </c>
      <c r="F105" s="81">
        <f>F88/F11</f>
        <v>0.5618940334337695</v>
      </c>
      <c r="G105" s="81">
        <f>G88/G11</f>
        <v>0.5959312914496886</v>
      </c>
      <c r="H105" s="81">
        <f>H88/H11</f>
        <v>0.5848547892772896</v>
      </c>
      <c r="I105" s="104">
        <f>I88/I11</f>
        <v>0.6106005915432663</v>
      </c>
      <c r="J105" s="77">
        <v>0.6</v>
      </c>
      <c r="K105" s="81">
        <f aca="true" t="shared" si="20" ref="K105:N107">J105</f>
        <v>0.6</v>
      </c>
      <c r="L105" s="81">
        <f t="shared" si="20"/>
        <v>0.6</v>
      </c>
      <c r="M105" s="81">
        <f t="shared" si="20"/>
        <v>0.6</v>
      </c>
      <c r="N105" s="81">
        <f t="shared" si="20"/>
        <v>0.6</v>
      </c>
      <c r="O105" s="47"/>
    </row>
    <row r="106" spans="2:15" ht="15">
      <c r="B106" s="1" t="s">
        <v>153</v>
      </c>
      <c r="C106" s="46"/>
      <c r="D106" s="46"/>
      <c r="E106" s="81">
        <f>E91/E22</f>
        <v>0</v>
      </c>
      <c r="F106" s="81">
        <f>F91/F22</f>
        <v>0</v>
      </c>
      <c r="G106" s="81">
        <f>G91/G22</f>
        <v>0</v>
      </c>
      <c r="H106" s="81">
        <f>H91/H22</f>
        <v>0.24643884892086332</v>
      </c>
      <c r="I106" s="104">
        <f>I91/I22</f>
        <v>0.27556003772492554</v>
      </c>
      <c r="J106" s="77">
        <v>0.25</v>
      </c>
      <c r="K106" s="81">
        <f t="shared" si="20"/>
        <v>0.25</v>
      </c>
      <c r="L106" s="81">
        <f t="shared" si="20"/>
        <v>0.25</v>
      </c>
      <c r="M106" s="81">
        <f t="shared" si="20"/>
        <v>0.25</v>
      </c>
      <c r="N106" s="81">
        <f t="shared" si="20"/>
        <v>0.25</v>
      </c>
      <c r="O106" s="47"/>
    </row>
    <row r="107" spans="2:15" ht="15">
      <c r="B107" s="1" t="s">
        <v>142</v>
      </c>
      <c r="C107" s="46"/>
      <c r="D107" s="46"/>
      <c r="E107" s="81">
        <f>E96/E25</f>
        <v>0.6905679551560295</v>
      </c>
      <c r="F107" s="81">
        <f>F96/F25</f>
        <v>0.708095643625115</v>
      </c>
      <c r="G107" s="81">
        <f>G96/G25</f>
        <v>0.7227470812497975</v>
      </c>
      <c r="H107" s="81">
        <f>H96/H25</f>
        <v>0.6391288021028915</v>
      </c>
      <c r="I107" s="104">
        <f>I96/I25</f>
        <v>0.7289429402355369</v>
      </c>
      <c r="J107" s="77">
        <v>0.7</v>
      </c>
      <c r="K107" s="81">
        <f t="shared" si="20"/>
        <v>0.7</v>
      </c>
      <c r="L107" s="81">
        <f t="shared" si="20"/>
        <v>0.7</v>
      </c>
      <c r="M107" s="81">
        <f t="shared" si="20"/>
        <v>0.7</v>
      </c>
      <c r="N107" s="81">
        <f t="shared" si="20"/>
        <v>0.7</v>
      </c>
      <c r="O107" s="47"/>
    </row>
    <row r="108" spans="2:15" ht="15">
      <c r="B108" s="11" t="s">
        <v>143</v>
      </c>
      <c r="C108" s="46"/>
      <c r="D108" s="46"/>
      <c r="E108" s="108"/>
      <c r="F108" s="108"/>
      <c r="G108" s="108"/>
      <c r="H108" s="108"/>
      <c r="I108" s="109"/>
      <c r="J108" s="46"/>
      <c r="K108" s="46"/>
      <c r="L108" s="46"/>
      <c r="M108" s="46"/>
      <c r="N108" s="46"/>
      <c r="O108" s="47"/>
    </row>
    <row r="109" spans="2:15" ht="15">
      <c r="B109" s="11" t="s">
        <v>144</v>
      </c>
      <c r="C109" s="46"/>
      <c r="D109" s="46"/>
      <c r="E109" s="81">
        <f>E99/(E28+E30)</f>
        <v>1.054261909848323</v>
      </c>
      <c r="F109" s="81">
        <f>F99/(F28+F30)</f>
        <v>0.9622982788344685</v>
      </c>
      <c r="G109" s="81">
        <f>G99/(G28+G30)</f>
        <v>0.8124254932649967</v>
      </c>
      <c r="H109" s="81">
        <f>H99/(H28+H30)</f>
        <v>0.5042637134884418</v>
      </c>
      <c r="I109" s="104">
        <f>I99/(I28+I30)</f>
        <v>0.9210111886319104</v>
      </c>
      <c r="J109" s="77">
        <v>0.9</v>
      </c>
      <c r="K109" s="81">
        <f>J109</f>
        <v>0.9</v>
      </c>
      <c r="L109" s="81">
        <f>K109</f>
        <v>0.9</v>
      </c>
      <c r="M109" s="81">
        <f>L109</f>
        <v>0.9</v>
      </c>
      <c r="N109" s="81">
        <f>M109</f>
        <v>0.9</v>
      </c>
      <c r="O109" s="47"/>
    </row>
    <row r="110" spans="2:15" ht="15">
      <c r="B110" s="11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7"/>
    </row>
    <row r="111" spans="2:15" ht="15">
      <c r="B111" s="11" t="s">
        <v>145</v>
      </c>
      <c r="C111" s="46"/>
      <c r="D111" s="46"/>
      <c r="E111" s="77">
        <v>0.0504</v>
      </c>
      <c r="F111" s="77">
        <v>0.0596</v>
      </c>
      <c r="G111" s="77">
        <v>0.0642</v>
      </c>
      <c r="H111" s="77">
        <v>0.0536</v>
      </c>
      <c r="I111" s="105">
        <v>0.0404</v>
      </c>
      <c r="J111" s="75">
        <f>J112+J113</f>
        <v>0.045</v>
      </c>
      <c r="K111" s="75">
        <f>K112+K113</f>
        <v>0.045</v>
      </c>
      <c r="L111" s="75">
        <f>L112+L113</f>
        <v>0.0475</v>
      </c>
      <c r="M111" s="75">
        <f>M112+M113</f>
        <v>0.0525</v>
      </c>
      <c r="N111" s="75">
        <f>N112+N113</f>
        <v>0.05500000000000001</v>
      </c>
      <c r="O111" s="47"/>
    </row>
    <row r="112" spans="2:15" ht="15">
      <c r="B112" s="11" t="s">
        <v>146</v>
      </c>
      <c r="C112" s="46"/>
      <c r="D112" s="46"/>
      <c r="E112" s="77">
        <v>0.0318</v>
      </c>
      <c r="F112" s="77">
        <v>0.0414</v>
      </c>
      <c r="G112" s="77">
        <v>0.0429</v>
      </c>
      <c r="H112" s="77">
        <v>0.0264</v>
      </c>
      <c r="I112" s="105">
        <v>0.0102</v>
      </c>
      <c r="J112" s="106">
        <v>0.015</v>
      </c>
      <c r="K112" s="106">
        <v>0.02</v>
      </c>
      <c r="L112" s="106">
        <v>0.025</v>
      </c>
      <c r="M112" s="106">
        <v>0.03</v>
      </c>
      <c r="N112" s="106">
        <v>0.035</v>
      </c>
      <c r="O112" s="47"/>
    </row>
    <row r="113" spans="2:15" ht="15">
      <c r="B113" s="11" t="s">
        <v>147</v>
      </c>
      <c r="C113" s="46"/>
      <c r="D113" s="46"/>
      <c r="E113" s="81">
        <f>E111-E112</f>
        <v>0.0186</v>
      </c>
      <c r="F113" s="81">
        <f>F111-F112</f>
        <v>0.0182</v>
      </c>
      <c r="G113" s="81">
        <f>G111-G112</f>
        <v>0.021299999999999993</v>
      </c>
      <c r="H113" s="81">
        <f>H111-H112</f>
        <v>0.027200000000000002</v>
      </c>
      <c r="I113" s="104">
        <f>I111-I112</f>
        <v>0.030199999999999998</v>
      </c>
      <c r="J113" s="77">
        <v>0.03</v>
      </c>
      <c r="K113" s="77">
        <v>0.025</v>
      </c>
      <c r="L113" s="77">
        <v>0.0225</v>
      </c>
      <c r="M113" s="77">
        <v>0.0225</v>
      </c>
      <c r="N113" s="77">
        <v>0.02</v>
      </c>
      <c r="O113" s="47"/>
    </row>
    <row r="114" spans="2:15" ht="15">
      <c r="B114" s="11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7"/>
    </row>
    <row r="115" spans="2:15" ht="15">
      <c r="B115" s="2" t="s">
        <v>148</v>
      </c>
      <c r="C115" s="46"/>
      <c r="D115" s="46"/>
      <c r="E115" s="46"/>
      <c r="F115" s="46"/>
      <c r="G115" s="46"/>
      <c r="H115" s="46"/>
      <c r="I115" s="46"/>
      <c r="J115" s="107"/>
      <c r="K115" s="107"/>
      <c r="L115" s="107"/>
      <c r="M115" s="107"/>
      <c r="N115" s="107"/>
      <c r="O115" s="47"/>
    </row>
    <row r="116" spans="2:15" ht="15">
      <c r="B116" s="4" t="s">
        <v>149</v>
      </c>
      <c r="C116" s="46"/>
      <c r="D116" s="46"/>
      <c r="E116" s="16">
        <v>45075</v>
      </c>
      <c r="F116" s="16">
        <v>59107</v>
      </c>
      <c r="G116" s="16">
        <v>71387</v>
      </c>
      <c r="H116" s="16">
        <v>73018</v>
      </c>
      <c r="I116" s="22">
        <v>66350</v>
      </c>
      <c r="J116" s="29">
        <f>J93*J111</f>
        <v>74635.7853549352</v>
      </c>
      <c r="K116" s="29">
        <f>K93*K111</f>
        <v>75648.96050543788</v>
      </c>
      <c r="L116" s="29">
        <f>L93*L111</f>
        <v>82311.2596805402</v>
      </c>
      <c r="M116" s="29">
        <f>M93*M111</f>
        <v>94086.67343586624</v>
      </c>
      <c r="N116" s="29">
        <f>N93*N111</f>
        <v>102345.91426077396</v>
      </c>
      <c r="O116" s="47"/>
    </row>
    <row r="117" spans="2:15" ht="15">
      <c r="B117" s="4" t="s">
        <v>150</v>
      </c>
      <c r="C117" s="46"/>
      <c r="D117" s="46"/>
      <c r="E117" s="17">
        <v>-25520</v>
      </c>
      <c r="F117" s="17">
        <v>-37865</v>
      </c>
      <c r="G117" s="17">
        <v>-44981</v>
      </c>
      <c r="H117" s="17">
        <v>-34239</v>
      </c>
      <c r="I117" s="23">
        <v>-15198</v>
      </c>
      <c r="J117" s="79">
        <f>-J103*J112</f>
        <v>-21808.50354366162</v>
      </c>
      <c r="K117" s="79">
        <f>-K103*K112</f>
        <v>-28809.403558040387</v>
      </c>
      <c r="L117" s="79">
        <f>-L103*L112</f>
        <v>-36484.37640105621</v>
      </c>
      <c r="M117" s="79">
        <f>-M103*M112</f>
        <v>-44475.97992452797</v>
      </c>
      <c r="N117" s="79">
        <f>-N103*N112</f>
        <v>-52964.103914142695</v>
      </c>
      <c r="O117" s="47"/>
    </row>
    <row r="118" spans="2:15" ht="15">
      <c r="B118" s="28" t="s">
        <v>151</v>
      </c>
      <c r="C118" s="64"/>
      <c r="D118" s="64"/>
      <c r="E118" s="27">
        <f aca="true" t="shared" si="21" ref="E118:N118">SUM(E116:E117)</f>
        <v>19555</v>
      </c>
      <c r="F118" s="27">
        <f t="shared" si="21"/>
        <v>21242</v>
      </c>
      <c r="G118" s="27">
        <f t="shared" si="21"/>
        <v>26406</v>
      </c>
      <c r="H118" s="27">
        <f t="shared" si="21"/>
        <v>38779</v>
      </c>
      <c r="I118" s="27">
        <f t="shared" si="21"/>
        <v>51152</v>
      </c>
      <c r="J118" s="27">
        <f t="shared" si="21"/>
        <v>52827.281811273584</v>
      </c>
      <c r="K118" s="27">
        <f t="shared" si="21"/>
        <v>46839.55694739749</v>
      </c>
      <c r="L118" s="27">
        <f t="shared" si="21"/>
        <v>45826.88327948399</v>
      </c>
      <c r="M118" s="27">
        <f t="shared" si="21"/>
        <v>49610.693511338264</v>
      </c>
      <c r="N118" s="27">
        <f t="shared" si="21"/>
        <v>49381.81034663127</v>
      </c>
      <c r="O118" s="49"/>
    </row>
    <row r="120" spans="2:15" ht="15">
      <c r="B120" s="42" t="str">
        <f>Company_Name&amp;" - Income Statement"</f>
        <v>JPMorgan Chase &amp; Co. - Income Statement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2:15" ht="15">
      <c r="B121" s="11" t="s">
        <v>154</v>
      </c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7"/>
    </row>
    <row r="122" spans="2:15" ht="15">
      <c r="B122" s="11"/>
      <c r="C122" s="46"/>
      <c r="D122" s="46"/>
      <c r="E122" s="13" t="str">
        <f>LLRs!$E$4</f>
        <v>Historical</v>
      </c>
      <c r="F122" s="13"/>
      <c r="G122" s="13"/>
      <c r="H122" s="13"/>
      <c r="I122" s="13"/>
      <c r="J122" s="12" t="str">
        <f>LLRs!$J$4</f>
        <v>Projected</v>
      </c>
      <c r="K122" s="12"/>
      <c r="L122" s="12"/>
      <c r="M122" s="12"/>
      <c r="N122" s="12"/>
      <c r="O122" s="47"/>
    </row>
    <row r="123" spans="2:15" ht="15">
      <c r="B123" s="14" t="str">
        <f>Loans!$B$5</f>
        <v>December 31, </v>
      </c>
      <c r="C123" s="48"/>
      <c r="D123" s="48"/>
      <c r="E123" s="69">
        <f>Loans!$E$5</f>
        <v>2005</v>
      </c>
      <c r="F123" s="69">
        <f>Loans!$F$5</f>
        <v>2006</v>
      </c>
      <c r="G123" s="69">
        <f>Loans!$G$5</f>
        <v>2007</v>
      </c>
      <c r="H123" s="69">
        <f>Loans!$H$5</f>
        <v>2008</v>
      </c>
      <c r="I123" s="70">
        <f>Loans!$I$5</f>
        <v>2009</v>
      </c>
      <c r="J123" s="15">
        <f>Loans!$J$5</f>
        <v>2010</v>
      </c>
      <c r="K123" s="15">
        <f>Loans!$K$5</f>
        <v>2011</v>
      </c>
      <c r="L123" s="15">
        <f>Loans!$L$5</f>
        <v>2012</v>
      </c>
      <c r="M123" s="15">
        <f>Loans!$M$5</f>
        <v>2013</v>
      </c>
      <c r="N123" s="15">
        <f>Loans!$N$5</f>
        <v>2014</v>
      </c>
      <c r="O123" s="47"/>
    </row>
    <row r="124" spans="2:15" ht="15">
      <c r="B124" s="92" t="s">
        <v>155</v>
      </c>
      <c r="C124" s="93"/>
      <c r="D124" s="93"/>
      <c r="E124" s="93"/>
      <c r="F124" s="93"/>
      <c r="G124" s="93"/>
      <c r="H124" s="93"/>
      <c r="I124" s="111"/>
      <c r="J124" s="93"/>
      <c r="K124" s="93"/>
      <c r="L124" s="93"/>
      <c r="M124" s="93"/>
      <c r="N124" s="93"/>
      <c r="O124" s="47"/>
    </row>
    <row r="125" spans="2:15" ht="15">
      <c r="B125" s="4" t="s">
        <v>156</v>
      </c>
      <c r="C125" s="46"/>
      <c r="D125" s="46"/>
      <c r="E125" s="16">
        <v>4088</v>
      </c>
      <c r="F125" s="16">
        <v>5520</v>
      </c>
      <c r="G125" s="16">
        <v>6635</v>
      </c>
      <c r="H125" s="16">
        <v>5526</v>
      </c>
      <c r="I125" s="22">
        <v>7087</v>
      </c>
      <c r="J125" s="19">
        <f>I125*(1+J179)</f>
        <v>7795.700000000001</v>
      </c>
      <c r="K125" s="19">
        <f>J125*(1+K179)</f>
        <v>8380.3775</v>
      </c>
      <c r="L125" s="19">
        <f>K125*(1+L179)</f>
        <v>9008.905812500001</v>
      </c>
      <c r="M125" s="19">
        <f>L125*(1+M179)</f>
        <v>9459.351103125002</v>
      </c>
      <c r="N125" s="19">
        <f>M125*(1+N179)</f>
        <v>9932.318658281252</v>
      </c>
      <c r="O125" s="47"/>
    </row>
    <row r="126" spans="2:15" ht="15">
      <c r="B126" s="4" t="s">
        <v>157</v>
      </c>
      <c r="C126" s="46"/>
      <c r="D126" s="46"/>
      <c r="E126" s="17">
        <v>7669</v>
      </c>
      <c r="F126" s="17">
        <v>10346</v>
      </c>
      <c r="G126" s="17">
        <v>9015</v>
      </c>
      <c r="H126" s="17">
        <v>-10699</v>
      </c>
      <c r="I126" s="23">
        <v>9796</v>
      </c>
      <c r="J126" s="20">
        <f>AVERAGE(I11,J11)*J181</f>
        <v>9764.289999999999</v>
      </c>
      <c r="K126" s="20">
        <f>AVERAGE(J11,K11)*K181</f>
        <v>9019.1205</v>
      </c>
      <c r="L126" s="20">
        <f>AVERAGE(K11,L11)*L181</f>
        <v>8787.861</v>
      </c>
      <c r="M126" s="20">
        <f>AVERAGE(L11,M11)*M181</f>
        <v>9007.557525</v>
      </c>
      <c r="N126" s="20">
        <f>AVERAGE(M11,N11)*N181</f>
        <v>11626.340102999999</v>
      </c>
      <c r="O126" s="47"/>
    </row>
    <row r="127" spans="2:15" ht="15">
      <c r="B127" s="4" t="s">
        <v>158</v>
      </c>
      <c r="C127" s="46"/>
      <c r="D127" s="46"/>
      <c r="E127" s="17">
        <v>-1336</v>
      </c>
      <c r="F127" s="17">
        <v>-543</v>
      </c>
      <c r="G127" s="17">
        <v>164</v>
      </c>
      <c r="H127" s="17">
        <v>1560</v>
      </c>
      <c r="I127" s="23">
        <v>1110</v>
      </c>
      <c r="J127" s="17">
        <v>0</v>
      </c>
      <c r="K127" s="20">
        <f>J127</f>
        <v>0</v>
      </c>
      <c r="L127" s="20">
        <f>K127</f>
        <v>0</v>
      </c>
      <c r="M127" s="20">
        <f>L127</f>
        <v>0</v>
      </c>
      <c r="N127" s="20">
        <f>M127</f>
        <v>0</v>
      </c>
      <c r="O127" s="47"/>
    </row>
    <row r="128" spans="2:15" ht="15">
      <c r="B128" s="4" t="s">
        <v>159</v>
      </c>
      <c r="C128" s="46"/>
      <c r="D128" s="46"/>
      <c r="E128" s="17">
        <v>3389</v>
      </c>
      <c r="F128" s="17">
        <v>3468</v>
      </c>
      <c r="G128" s="17">
        <v>3938</v>
      </c>
      <c r="H128" s="17">
        <v>5088</v>
      </c>
      <c r="I128" s="23">
        <v>7045</v>
      </c>
      <c r="J128" s="20">
        <f>AVERAGE(I14+I25,J14+J25)*J183</f>
        <v>6309.965861859189</v>
      </c>
      <c r="K128" s="20">
        <f>AVERAGE(J14+J25,K14+K25)*K183</f>
        <v>6286.334271836086</v>
      </c>
      <c r="L128" s="20">
        <f>AVERAGE(K14+K25,L14+L25)*L183</f>
        <v>6428.011362174809</v>
      </c>
      <c r="M128" s="20">
        <f>AVERAGE(L14+L25,M14+M25)*M183</f>
        <v>6569.407461402635</v>
      </c>
      <c r="N128" s="20">
        <f>AVERAGE(M14+M25,N14+N25)*N183</f>
        <v>6649.229207223542</v>
      </c>
      <c r="O128" s="47"/>
    </row>
    <row r="129" spans="2:15" ht="15">
      <c r="B129" s="4" t="s">
        <v>160</v>
      </c>
      <c r="C129" s="46"/>
      <c r="D129" s="46"/>
      <c r="E129" s="17">
        <v>9891</v>
      </c>
      <c r="F129" s="17">
        <v>11725</v>
      </c>
      <c r="G129" s="17">
        <v>14356</v>
      </c>
      <c r="H129" s="17">
        <v>13943</v>
      </c>
      <c r="I129" s="23">
        <v>12540</v>
      </c>
      <c r="J129" s="20">
        <f>AVERAGE(I185,J185)*J189*Units</f>
        <v>14288.400000000001</v>
      </c>
      <c r="K129" s="20">
        <f>AVERAGE(J185,K185)*K189*Units</f>
        <v>15567.552000000001</v>
      </c>
      <c r="L129" s="20">
        <f>AVERAGE(K185,L185)*L189*Units</f>
        <v>16651.293120000002</v>
      </c>
      <c r="M129" s="20">
        <f>AVERAGE(L185,M185)*M189*Units</f>
        <v>17650.370707200003</v>
      </c>
      <c r="N129" s="20">
        <f>AVERAGE(M185,N185)*N189*Units</f>
        <v>18527.748357888006</v>
      </c>
      <c r="O129" s="47"/>
    </row>
    <row r="130" spans="2:15" ht="15">
      <c r="B130" s="4" t="s">
        <v>161</v>
      </c>
      <c r="C130" s="46"/>
      <c r="D130" s="46"/>
      <c r="E130" s="17">
        <v>1054</v>
      </c>
      <c r="F130" s="17">
        <v>591</v>
      </c>
      <c r="G130" s="17">
        <v>2118</v>
      </c>
      <c r="H130" s="17">
        <v>3467</v>
      </c>
      <c r="I130" s="23">
        <v>3678</v>
      </c>
      <c r="J130" s="20">
        <f>AVERAGE(I191,J191)*J192</f>
        <v>3415.5324</v>
      </c>
      <c r="K130" s="20">
        <f>AVERAGE(J191,K191)*K192</f>
        <v>3402.9952275</v>
      </c>
      <c r="L130" s="20">
        <f>AVERAGE(K191,L191)*L192</f>
        <v>3325.6544268750004</v>
      </c>
      <c r="M130" s="20">
        <f>AVERAGE(L191,M191)*M192</f>
        <v>3178.8047464593747</v>
      </c>
      <c r="N130" s="20">
        <f>AVERAGE(M191,N191)*N192</f>
        <v>3337.744983782344</v>
      </c>
      <c r="O130" s="47"/>
    </row>
    <row r="131" spans="2:15" ht="15">
      <c r="B131" s="4" t="s">
        <v>162</v>
      </c>
      <c r="C131" s="46"/>
      <c r="D131" s="46"/>
      <c r="E131" s="17">
        <v>6754</v>
      </c>
      <c r="F131" s="17">
        <v>6913</v>
      </c>
      <c r="G131" s="17">
        <v>6911</v>
      </c>
      <c r="H131" s="17">
        <v>7419</v>
      </c>
      <c r="I131" s="23">
        <v>7110</v>
      </c>
      <c r="J131" s="20">
        <f>AVERAGE(I194,J194)*J195</f>
        <v>6212.2761</v>
      </c>
      <c r="K131" s="20">
        <f>AVERAGE(J194,K194)*K195</f>
        <v>6590.3257968749995</v>
      </c>
      <c r="L131" s="20">
        <f>AVERAGE(K194,L194)*L195</f>
        <v>6905.9203543124995</v>
      </c>
      <c r="M131" s="20">
        <f>AVERAGE(L194,M194)*M195</f>
        <v>7153.226961595312</v>
      </c>
      <c r="N131" s="20">
        <f>AVERAGE(M194,N194)*N195</f>
        <v>7407.9994287206255</v>
      </c>
      <c r="O131" s="47"/>
    </row>
    <row r="132" spans="2:15" ht="15">
      <c r="B132" s="4" t="s">
        <v>163</v>
      </c>
      <c r="C132" s="46"/>
      <c r="D132" s="46"/>
      <c r="E132" s="17">
        <v>2684</v>
      </c>
      <c r="F132" s="17">
        <v>2175</v>
      </c>
      <c r="G132" s="17">
        <v>1829</v>
      </c>
      <c r="H132" s="17">
        <v>2169</v>
      </c>
      <c r="I132" s="23">
        <v>916</v>
      </c>
      <c r="J132" s="20">
        <f>I132*(1+J197)</f>
        <v>824.4</v>
      </c>
      <c r="K132" s="20">
        <f>J132*(1+K197)</f>
        <v>783.18</v>
      </c>
      <c r="L132" s="20">
        <f>K132*(1+L197)</f>
        <v>783.18</v>
      </c>
      <c r="M132" s="20">
        <f>L132*(1+M197)</f>
        <v>822.3389999999999</v>
      </c>
      <c r="N132" s="20">
        <f>M132*(1+N197)</f>
        <v>904.5729</v>
      </c>
      <c r="O132" s="47"/>
    </row>
    <row r="133" spans="2:15" ht="15">
      <c r="B133" s="112" t="s">
        <v>164</v>
      </c>
      <c r="C133" s="64"/>
      <c r="D133" s="64"/>
      <c r="E133" s="27">
        <f aca="true" t="shared" si="22" ref="E133:N133">SUM(E125:E132)</f>
        <v>34193</v>
      </c>
      <c r="F133" s="27">
        <f t="shared" si="22"/>
        <v>40195</v>
      </c>
      <c r="G133" s="27">
        <f t="shared" si="22"/>
        <v>44966</v>
      </c>
      <c r="H133" s="27">
        <f t="shared" si="22"/>
        <v>28473</v>
      </c>
      <c r="I133" s="27">
        <f t="shared" si="22"/>
        <v>49282</v>
      </c>
      <c r="J133" s="27">
        <f t="shared" si="22"/>
        <v>48610.56436185919</v>
      </c>
      <c r="K133" s="27">
        <f t="shared" si="22"/>
        <v>50029.88529621109</v>
      </c>
      <c r="L133" s="27">
        <f t="shared" si="22"/>
        <v>51890.82607586231</v>
      </c>
      <c r="M133" s="27">
        <f t="shared" si="22"/>
        <v>53841.05750478233</v>
      </c>
      <c r="N133" s="27">
        <f t="shared" si="22"/>
        <v>58385.95363889577</v>
      </c>
      <c r="O133" s="47"/>
    </row>
    <row r="134" spans="2:15" ht="15">
      <c r="B134" s="11"/>
      <c r="C134" s="46"/>
      <c r="D134" s="46"/>
      <c r="E134" s="46"/>
      <c r="F134" s="46"/>
      <c r="G134" s="29"/>
      <c r="H134" s="29"/>
      <c r="I134" s="46"/>
      <c r="J134" s="46"/>
      <c r="K134" s="46"/>
      <c r="L134" s="46"/>
      <c r="M134" s="46"/>
      <c r="N134" s="46"/>
      <c r="O134" s="47"/>
    </row>
    <row r="135" spans="2:15" ht="15">
      <c r="B135" s="4" t="s">
        <v>149</v>
      </c>
      <c r="C135" s="46"/>
      <c r="D135" s="46"/>
      <c r="E135" s="19">
        <f aca="true" t="shared" si="23" ref="E135:N135">E116</f>
        <v>45075</v>
      </c>
      <c r="F135" s="19">
        <f t="shared" si="23"/>
        <v>59107</v>
      </c>
      <c r="G135" s="19">
        <f t="shared" si="23"/>
        <v>71387</v>
      </c>
      <c r="H135" s="19">
        <f t="shared" si="23"/>
        <v>73018</v>
      </c>
      <c r="I135" s="19">
        <f t="shared" si="23"/>
        <v>66350</v>
      </c>
      <c r="J135" s="29">
        <f t="shared" si="23"/>
        <v>74635.7853549352</v>
      </c>
      <c r="K135" s="29">
        <f t="shared" si="23"/>
        <v>75648.96050543788</v>
      </c>
      <c r="L135" s="29">
        <f t="shared" si="23"/>
        <v>82311.2596805402</v>
      </c>
      <c r="M135" s="29">
        <f t="shared" si="23"/>
        <v>94086.67343586624</v>
      </c>
      <c r="N135" s="29">
        <f t="shared" si="23"/>
        <v>102345.91426077396</v>
      </c>
      <c r="O135" s="47"/>
    </row>
    <row r="136" spans="2:15" ht="15">
      <c r="B136" s="4" t="s">
        <v>150</v>
      </c>
      <c r="C136" s="46"/>
      <c r="D136" s="46"/>
      <c r="E136" s="20">
        <f aca="true" t="shared" si="24" ref="E136:N136">E117</f>
        <v>-25520</v>
      </c>
      <c r="F136" s="20">
        <f t="shared" si="24"/>
        <v>-37865</v>
      </c>
      <c r="G136" s="20">
        <f t="shared" si="24"/>
        <v>-44981</v>
      </c>
      <c r="H136" s="20">
        <f t="shared" si="24"/>
        <v>-34239</v>
      </c>
      <c r="I136" s="20">
        <f t="shared" si="24"/>
        <v>-15198</v>
      </c>
      <c r="J136" s="20">
        <f t="shared" si="24"/>
        <v>-21808.50354366162</v>
      </c>
      <c r="K136" s="20">
        <f t="shared" si="24"/>
        <v>-28809.403558040387</v>
      </c>
      <c r="L136" s="20">
        <f t="shared" si="24"/>
        <v>-36484.37640105621</v>
      </c>
      <c r="M136" s="20">
        <f t="shared" si="24"/>
        <v>-44475.97992452797</v>
      </c>
      <c r="N136" s="20">
        <f t="shared" si="24"/>
        <v>-52964.103914142695</v>
      </c>
      <c r="O136" s="47"/>
    </row>
    <row r="137" spans="2:15" ht="15">
      <c r="B137" s="28" t="s">
        <v>151</v>
      </c>
      <c r="C137" s="64"/>
      <c r="D137" s="64"/>
      <c r="E137" s="121">
        <f aca="true" t="shared" si="25" ref="E137:N137">SUM(E135:E136)</f>
        <v>19555</v>
      </c>
      <c r="F137" s="121">
        <f t="shared" si="25"/>
        <v>21242</v>
      </c>
      <c r="G137" s="121">
        <f t="shared" si="25"/>
        <v>26406</v>
      </c>
      <c r="H137" s="121">
        <f t="shared" si="25"/>
        <v>38779</v>
      </c>
      <c r="I137" s="121">
        <f t="shared" si="25"/>
        <v>51152</v>
      </c>
      <c r="J137" s="27">
        <f t="shared" si="25"/>
        <v>52827.281811273584</v>
      </c>
      <c r="K137" s="27">
        <f t="shared" si="25"/>
        <v>46839.55694739749</v>
      </c>
      <c r="L137" s="27">
        <f t="shared" si="25"/>
        <v>45826.88327948399</v>
      </c>
      <c r="M137" s="27">
        <f t="shared" si="25"/>
        <v>49610.693511338264</v>
      </c>
      <c r="N137" s="27">
        <f t="shared" si="25"/>
        <v>49381.81034663127</v>
      </c>
      <c r="O137" s="47"/>
    </row>
    <row r="138" spans="2:15" ht="15">
      <c r="B138" s="2"/>
      <c r="C138" s="46"/>
      <c r="D138" s="46"/>
      <c r="E138" s="73"/>
      <c r="F138" s="73"/>
      <c r="G138" s="73"/>
      <c r="H138" s="73"/>
      <c r="I138" s="73"/>
      <c r="J138" s="46"/>
      <c r="K138" s="46"/>
      <c r="L138" s="46"/>
      <c r="M138" s="46"/>
      <c r="N138" s="46"/>
      <c r="O138" s="47"/>
    </row>
    <row r="139" spans="2:15" ht="15">
      <c r="B139" s="2" t="s">
        <v>165</v>
      </c>
      <c r="C139" s="46"/>
      <c r="D139" s="46"/>
      <c r="E139" s="73">
        <f>E137+E133</f>
        <v>53748</v>
      </c>
      <c r="F139" s="73">
        <f aca="true" t="shared" si="26" ref="F139:N139">F137+F133</f>
        <v>61437</v>
      </c>
      <c r="G139" s="73">
        <f t="shared" si="26"/>
        <v>71372</v>
      </c>
      <c r="H139" s="73">
        <f t="shared" si="26"/>
        <v>67252</v>
      </c>
      <c r="I139" s="73">
        <f t="shared" si="26"/>
        <v>100434</v>
      </c>
      <c r="J139" s="73">
        <f t="shared" si="26"/>
        <v>101437.84617313277</v>
      </c>
      <c r="K139" s="73">
        <f t="shared" si="26"/>
        <v>96869.44224360859</v>
      </c>
      <c r="L139" s="73">
        <f t="shared" si="26"/>
        <v>97717.7093553463</v>
      </c>
      <c r="M139" s="73">
        <f t="shared" si="26"/>
        <v>103451.7510161206</v>
      </c>
      <c r="N139" s="73">
        <f t="shared" si="26"/>
        <v>107767.76398552704</v>
      </c>
      <c r="O139" s="47"/>
    </row>
    <row r="140" spans="2:15" ht="15">
      <c r="B140" s="2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7"/>
    </row>
    <row r="141" spans="2:15" ht="15">
      <c r="B141" s="2" t="s">
        <v>166</v>
      </c>
      <c r="C141" s="46"/>
      <c r="D141" s="46"/>
      <c r="E141" s="23">
        <v>3483</v>
      </c>
      <c r="F141" s="23">
        <v>3270</v>
      </c>
      <c r="G141" s="23">
        <v>6864</v>
      </c>
      <c r="H141" s="23">
        <v>20979</v>
      </c>
      <c r="I141" s="23">
        <v>32015</v>
      </c>
      <c r="J141" s="78">
        <f>LLRs!J8</f>
        <v>17314.504426876247</v>
      </c>
      <c r="K141" s="78">
        <f>LLRs!K8</f>
        <v>10363.045175440311</v>
      </c>
      <c r="L141" s="78">
        <f>LLRs!L8</f>
        <v>7276.270044018219</v>
      </c>
      <c r="M141" s="78">
        <f>LLRs!M8</f>
        <v>6087.481817515955</v>
      </c>
      <c r="N141" s="78">
        <f>LLRs!N8</f>
        <v>5541.024339352951</v>
      </c>
      <c r="O141" s="47"/>
    </row>
    <row r="142" spans="2:15" ht="15">
      <c r="B142" s="11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7"/>
    </row>
    <row r="143" spans="2:15" ht="15">
      <c r="B143" s="92" t="s">
        <v>167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47"/>
    </row>
    <row r="144" spans="2:15" ht="15">
      <c r="B144" s="4" t="s">
        <v>168</v>
      </c>
      <c r="C144" s="46"/>
      <c r="D144" s="46"/>
      <c r="E144" s="16">
        <v>18065</v>
      </c>
      <c r="F144" s="16">
        <v>21191</v>
      </c>
      <c r="G144" s="16">
        <v>22689</v>
      </c>
      <c r="H144" s="16">
        <v>22746</v>
      </c>
      <c r="I144" s="22">
        <v>26928</v>
      </c>
      <c r="J144" s="19">
        <f aca="true" t="shared" si="27" ref="J144:N149">J$139*J200</f>
        <v>32566.87502193683</v>
      </c>
      <c r="K144" s="19">
        <f t="shared" si="27"/>
        <v>31100.17747821527</v>
      </c>
      <c r="L144" s="19">
        <f t="shared" si="27"/>
        <v>31372.515762745003</v>
      </c>
      <c r="M144" s="19">
        <f t="shared" si="27"/>
        <v>33213.44422467518</v>
      </c>
      <c r="N144" s="19">
        <f t="shared" si="27"/>
        <v>34599.111017400784</v>
      </c>
      <c r="O144" s="47"/>
    </row>
    <row r="145" spans="2:15" ht="15">
      <c r="B145" s="4" t="s">
        <v>169</v>
      </c>
      <c r="C145" s="46"/>
      <c r="D145" s="46"/>
      <c r="E145" s="17">
        <v>2269</v>
      </c>
      <c r="F145" s="17">
        <v>2335</v>
      </c>
      <c r="G145" s="17">
        <v>2608</v>
      </c>
      <c r="H145" s="17">
        <v>3038</v>
      </c>
      <c r="I145" s="23">
        <v>3666</v>
      </c>
      <c r="J145" s="20">
        <f t="shared" si="27"/>
        <v>4025.821390778801</v>
      </c>
      <c r="K145" s="20">
        <f t="shared" si="27"/>
        <v>3844.51255038992</v>
      </c>
      <c r="L145" s="20">
        <f t="shared" si="27"/>
        <v>3878.1782088434643</v>
      </c>
      <c r="M145" s="20">
        <f t="shared" si="27"/>
        <v>4105.748375644543</v>
      </c>
      <c r="N145" s="20">
        <f t="shared" si="27"/>
        <v>4277.040432708322</v>
      </c>
      <c r="O145" s="47"/>
    </row>
    <row r="146" spans="2:15" ht="15">
      <c r="B146" s="4" t="s">
        <v>170</v>
      </c>
      <c r="C146" s="46"/>
      <c r="D146" s="46"/>
      <c r="E146" s="17">
        <v>3602</v>
      </c>
      <c r="F146" s="17">
        <v>3653</v>
      </c>
      <c r="G146" s="17">
        <v>3779</v>
      </c>
      <c r="H146" s="17">
        <v>4315</v>
      </c>
      <c r="I146" s="23">
        <v>4624</v>
      </c>
      <c r="J146" s="20">
        <f t="shared" si="27"/>
        <v>5875.7976186156675</v>
      </c>
      <c r="K146" s="20">
        <f t="shared" si="27"/>
        <v>5611.172353562649</v>
      </c>
      <c r="L146" s="20">
        <f t="shared" si="27"/>
        <v>5660.308312804049</v>
      </c>
      <c r="M146" s="20">
        <f t="shared" si="27"/>
        <v>5992.453262706825</v>
      </c>
      <c r="N146" s="20">
        <f t="shared" si="27"/>
        <v>6242.4587555705875</v>
      </c>
      <c r="O146" s="47"/>
    </row>
    <row r="147" spans="2:15" ht="15">
      <c r="B147" s="4" t="s">
        <v>171</v>
      </c>
      <c r="C147" s="46"/>
      <c r="D147" s="46"/>
      <c r="E147" s="17">
        <v>4162</v>
      </c>
      <c r="F147" s="17">
        <v>3888</v>
      </c>
      <c r="G147" s="17">
        <v>5140</v>
      </c>
      <c r="H147" s="17">
        <v>6053</v>
      </c>
      <c r="I147" s="23">
        <v>6232</v>
      </c>
      <c r="J147" s="20">
        <f t="shared" si="27"/>
        <v>7400.748539225642</v>
      </c>
      <c r="K147" s="20">
        <f t="shared" si="27"/>
        <v>7067.444846535707</v>
      </c>
      <c r="L147" s="20">
        <f t="shared" si="27"/>
        <v>7129.333104468069</v>
      </c>
      <c r="M147" s="20">
        <f t="shared" si="27"/>
        <v>7547.679925164604</v>
      </c>
      <c r="N147" s="20">
        <f t="shared" si="27"/>
        <v>7862.569563338663</v>
      </c>
      <c r="O147" s="47"/>
    </row>
    <row r="148" spans="2:15" ht="15">
      <c r="B148" s="4" t="s">
        <v>172</v>
      </c>
      <c r="C148" s="46"/>
      <c r="D148" s="46"/>
      <c r="E148" s="17">
        <v>1917</v>
      </c>
      <c r="F148" s="17">
        <v>2209</v>
      </c>
      <c r="G148" s="17">
        <v>2070</v>
      </c>
      <c r="H148" s="17">
        <v>1913</v>
      </c>
      <c r="I148" s="23">
        <v>1777</v>
      </c>
      <c r="J148" s="20">
        <f t="shared" si="27"/>
        <v>2977.472792775329</v>
      </c>
      <c r="K148" s="20">
        <f t="shared" si="27"/>
        <v>2843.377887178162</v>
      </c>
      <c r="L148" s="20">
        <f t="shared" si="27"/>
        <v>2868.276801552727</v>
      </c>
      <c r="M148" s="20">
        <f t="shared" si="27"/>
        <v>3036.586300242751</v>
      </c>
      <c r="N148" s="20">
        <f t="shared" si="27"/>
        <v>3163.272854369103</v>
      </c>
      <c r="O148" s="47"/>
    </row>
    <row r="149" spans="2:15" ht="15">
      <c r="B149" s="4" t="s">
        <v>173</v>
      </c>
      <c r="C149" s="46"/>
      <c r="D149" s="46"/>
      <c r="E149" s="17">
        <v>6199</v>
      </c>
      <c r="F149" s="17">
        <v>3272</v>
      </c>
      <c r="G149" s="17">
        <v>3814</v>
      </c>
      <c r="H149" s="17">
        <v>3740</v>
      </c>
      <c r="I149" s="23">
        <v>7594</v>
      </c>
      <c r="J149" s="20">
        <f t="shared" si="27"/>
        <v>7166.669641513991</v>
      </c>
      <c r="K149" s="20">
        <f t="shared" si="27"/>
        <v>6843.908039340247</v>
      </c>
      <c r="L149" s="20">
        <f t="shared" si="27"/>
        <v>6903.838828359658</v>
      </c>
      <c r="M149" s="20">
        <f t="shared" si="27"/>
        <v>7308.953722294896</v>
      </c>
      <c r="N149" s="20">
        <f t="shared" si="27"/>
        <v>7613.883689631075</v>
      </c>
      <c r="O149" s="47"/>
    </row>
    <row r="150" spans="2:15" ht="15">
      <c r="B150" s="4" t="s">
        <v>174</v>
      </c>
      <c r="C150" s="46"/>
      <c r="D150" s="46"/>
      <c r="E150" s="17">
        <v>1490</v>
      </c>
      <c r="F150" s="17">
        <v>1428</v>
      </c>
      <c r="G150" s="17">
        <v>1394</v>
      </c>
      <c r="H150" s="17">
        <v>1263</v>
      </c>
      <c r="I150" s="23">
        <v>1050</v>
      </c>
      <c r="J150" s="20">
        <f>J63</f>
        <v>913</v>
      </c>
      <c r="K150" s="20">
        <f>K63</f>
        <v>793</v>
      </c>
      <c r="L150" s="20">
        <f>L63</f>
        <v>710</v>
      </c>
      <c r="M150" s="20">
        <f>M63</f>
        <v>621</v>
      </c>
      <c r="N150" s="20">
        <f>N63</f>
        <v>420</v>
      </c>
      <c r="O150" s="47"/>
    </row>
    <row r="151" spans="2:15" ht="15">
      <c r="B151" s="4" t="s">
        <v>175</v>
      </c>
      <c r="C151" s="46"/>
      <c r="D151" s="46"/>
      <c r="E151" s="17">
        <v>722</v>
      </c>
      <c r="F151" s="17">
        <v>305</v>
      </c>
      <c r="G151" s="17">
        <v>209</v>
      </c>
      <c r="H151" s="17">
        <v>432</v>
      </c>
      <c r="I151" s="23">
        <v>481</v>
      </c>
      <c r="J151" s="17">
        <v>0</v>
      </c>
      <c r="K151" s="20">
        <f>J151</f>
        <v>0</v>
      </c>
      <c r="L151" s="20">
        <f>K151</f>
        <v>0</v>
      </c>
      <c r="M151" s="20">
        <f>L151</f>
        <v>0</v>
      </c>
      <c r="N151" s="20">
        <f>M151</f>
        <v>0</v>
      </c>
      <c r="O151" s="47"/>
    </row>
    <row r="152" spans="2:15" ht="15">
      <c r="B152" s="112" t="s">
        <v>176</v>
      </c>
      <c r="C152" s="64"/>
      <c r="D152" s="64"/>
      <c r="E152" s="27">
        <f aca="true" t="shared" si="28" ref="E152:N152">SUM(E144:E151)</f>
        <v>38426</v>
      </c>
      <c r="F152" s="27">
        <f t="shared" si="28"/>
        <v>38281</v>
      </c>
      <c r="G152" s="27">
        <f t="shared" si="28"/>
        <v>41703</v>
      </c>
      <c r="H152" s="27">
        <f t="shared" si="28"/>
        <v>43500</v>
      </c>
      <c r="I152" s="27">
        <f t="shared" si="28"/>
        <v>52352</v>
      </c>
      <c r="J152" s="27">
        <f t="shared" si="28"/>
        <v>60926.385004846255</v>
      </c>
      <c r="K152" s="27">
        <f t="shared" si="28"/>
        <v>58103.593155221955</v>
      </c>
      <c r="L152" s="27">
        <f t="shared" si="28"/>
        <v>58522.45101877296</v>
      </c>
      <c r="M152" s="27">
        <f t="shared" si="28"/>
        <v>61825.8658107288</v>
      </c>
      <c r="N152" s="27">
        <f t="shared" si="28"/>
        <v>64178.33631301854</v>
      </c>
      <c r="O152" s="47"/>
    </row>
    <row r="153" spans="2:15" ht="15">
      <c r="B153" s="11"/>
      <c r="C153" s="46"/>
      <c r="D153" s="46"/>
      <c r="E153" s="46"/>
      <c r="F153" s="46"/>
      <c r="G153" s="46"/>
      <c r="H153" s="46"/>
      <c r="I153" s="29"/>
      <c r="J153" s="46"/>
      <c r="K153" s="46"/>
      <c r="L153" s="46"/>
      <c r="M153" s="46"/>
      <c r="N153" s="46"/>
      <c r="O153" s="47"/>
    </row>
    <row r="154" spans="2:15" ht="15">
      <c r="B154" s="2" t="s">
        <v>177</v>
      </c>
      <c r="C154" s="46"/>
      <c r="D154" s="46"/>
      <c r="E154" s="73">
        <f aca="true" t="shared" si="29" ref="E154:N154">E139-E141-E152</f>
        <v>11839</v>
      </c>
      <c r="F154" s="73">
        <f t="shared" si="29"/>
        <v>19886</v>
      </c>
      <c r="G154" s="73">
        <f t="shared" si="29"/>
        <v>22805</v>
      </c>
      <c r="H154" s="73">
        <f t="shared" si="29"/>
        <v>2773</v>
      </c>
      <c r="I154" s="73">
        <f t="shared" si="29"/>
        <v>16067</v>
      </c>
      <c r="J154" s="73">
        <f t="shared" si="29"/>
        <v>23196.95674141027</v>
      </c>
      <c r="K154" s="73">
        <f t="shared" si="29"/>
        <v>28402.803912946314</v>
      </c>
      <c r="L154" s="73">
        <f t="shared" si="29"/>
        <v>31918.98829255512</v>
      </c>
      <c r="M154" s="73">
        <f t="shared" si="29"/>
        <v>35538.40338787584</v>
      </c>
      <c r="N154" s="73">
        <f t="shared" si="29"/>
        <v>38048.40333315555</v>
      </c>
      <c r="O154" s="47"/>
    </row>
    <row r="155" spans="2:15" ht="15">
      <c r="B155" s="4" t="s">
        <v>178</v>
      </c>
      <c r="C155" s="46"/>
      <c r="D155" s="46"/>
      <c r="E155" s="17">
        <v>3585</v>
      </c>
      <c r="F155" s="17">
        <v>6237</v>
      </c>
      <c r="G155" s="17">
        <v>7440</v>
      </c>
      <c r="H155" s="17">
        <v>-926</v>
      </c>
      <c r="I155" s="23">
        <v>4415</v>
      </c>
      <c r="J155" s="20">
        <f>J154*J207</f>
        <v>6959.087022423081</v>
      </c>
      <c r="K155" s="20">
        <f>K154*K207</f>
        <v>8520.841173883893</v>
      </c>
      <c r="L155" s="20">
        <f>L154*L207</f>
        <v>9575.696487766536</v>
      </c>
      <c r="M155" s="20">
        <f>M154*M207</f>
        <v>10661.521016362753</v>
      </c>
      <c r="N155" s="20">
        <f>N154*N207</f>
        <v>11414.520999946664</v>
      </c>
      <c r="O155" s="47"/>
    </row>
    <row r="156" spans="2:15" ht="15">
      <c r="B156" s="2" t="s">
        <v>179</v>
      </c>
      <c r="C156" s="46"/>
      <c r="D156" s="46"/>
      <c r="E156" s="73">
        <f aca="true" t="shared" si="30" ref="E156:N156">E154-E155</f>
        <v>8254</v>
      </c>
      <c r="F156" s="73">
        <f t="shared" si="30"/>
        <v>13649</v>
      </c>
      <c r="G156" s="73">
        <f t="shared" si="30"/>
        <v>15365</v>
      </c>
      <c r="H156" s="73">
        <f t="shared" si="30"/>
        <v>3699</v>
      </c>
      <c r="I156" s="73">
        <f t="shared" si="30"/>
        <v>11652</v>
      </c>
      <c r="J156" s="73">
        <f t="shared" si="30"/>
        <v>16237.86971898719</v>
      </c>
      <c r="K156" s="73">
        <f t="shared" si="30"/>
        <v>19881.962739062423</v>
      </c>
      <c r="L156" s="73">
        <f t="shared" si="30"/>
        <v>22343.291804788583</v>
      </c>
      <c r="M156" s="73">
        <f t="shared" si="30"/>
        <v>24876.88237151309</v>
      </c>
      <c r="N156" s="73">
        <f t="shared" si="30"/>
        <v>26633.882333208883</v>
      </c>
      <c r="O156" s="47"/>
    </row>
    <row r="157" spans="2:15" ht="15">
      <c r="B157" s="4" t="s">
        <v>180</v>
      </c>
      <c r="C157" s="46"/>
      <c r="D157" s="46"/>
      <c r="E157" s="17">
        <v>0</v>
      </c>
      <c r="F157" s="17">
        <v>0</v>
      </c>
      <c r="G157" s="17">
        <v>0</v>
      </c>
      <c r="H157" s="17">
        <v>1906</v>
      </c>
      <c r="I157" s="23">
        <v>76</v>
      </c>
      <c r="J157" s="17">
        <v>0</v>
      </c>
      <c r="K157" s="20">
        <f aca="true" t="shared" si="31" ref="K157:N158">J157</f>
        <v>0</v>
      </c>
      <c r="L157" s="20">
        <f t="shared" si="31"/>
        <v>0</v>
      </c>
      <c r="M157" s="20">
        <f t="shared" si="31"/>
        <v>0</v>
      </c>
      <c r="N157" s="20">
        <f t="shared" si="31"/>
        <v>0</v>
      </c>
      <c r="O157" s="47"/>
    </row>
    <row r="158" spans="2:15" ht="15">
      <c r="B158" s="4" t="s">
        <v>181</v>
      </c>
      <c r="C158" s="46"/>
      <c r="D158" s="46"/>
      <c r="E158" s="17">
        <v>229</v>
      </c>
      <c r="F158" s="17">
        <v>795</v>
      </c>
      <c r="G158" s="17">
        <v>0</v>
      </c>
      <c r="H158" s="17">
        <v>0</v>
      </c>
      <c r="I158" s="23">
        <v>0</v>
      </c>
      <c r="J158" s="20">
        <f>I158</f>
        <v>0</v>
      </c>
      <c r="K158" s="20">
        <f t="shared" si="31"/>
        <v>0</v>
      </c>
      <c r="L158" s="20">
        <f t="shared" si="31"/>
        <v>0</v>
      </c>
      <c r="M158" s="20">
        <f t="shared" si="31"/>
        <v>0</v>
      </c>
      <c r="N158" s="20">
        <f t="shared" si="31"/>
        <v>0</v>
      </c>
      <c r="O158" s="47"/>
    </row>
    <row r="159" spans="2:15" ht="15">
      <c r="B159" s="28" t="s">
        <v>182</v>
      </c>
      <c r="C159" s="64"/>
      <c r="D159" s="64"/>
      <c r="E159" s="27">
        <f aca="true" t="shared" si="32" ref="E159:N159">SUM(E156:E158)</f>
        <v>8483</v>
      </c>
      <c r="F159" s="27">
        <f t="shared" si="32"/>
        <v>14444</v>
      </c>
      <c r="G159" s="27">
        <f t="shared" si="32"/>
        <v>15365</v>
      </c>
      <c r="H159" s="27">
        <f t="shared" si="32"/>
        <v>5605</v>
      </c>
      <c r="I159" s="27">
        <f t="shared" si="32"/>
        <v>11728</v>
      </c>
      <c r="J159" s="27">
        <f t="shared" si="32"/>
        <v>16237.86971898719</v>
      </c>
      <c r="K159" s="27">
        <f t="shared" si="32"/>
        <v>19881.962739062423</v>
      </c>
      <c r="L159" s="27">
        <f t="shared" si="32"/>
        <v>22343.291804788583</v>
      </c>
      <c r="M159" s="27">
        <f t="shared" si="32"/>
        <v>24876.88237151309</v>
      </c>
      <c r="N159" s="27">
        <f t="shared" si="32"/>
        <v>26633.882333208883</v>
      </c>
      <c r="O159" s="47"/>
    </row>
    <row r="160" spans="2:15" ht="15">
      <c r="B160" s="4" t="s">
        <v>183</v>
      </c>
      <c r="C160" s="46"/>
      <c r="D160" s="46"/>
      <c r="E160" s="113">
        <v>13</v>
      </c>
      <c r="F160" s="113">
        <v>4</v>
      </c>
      <c r="G160" s="17">
        <v>0</v>
      </c>
      <c r="H160" s="17">
        <v>674</v>
      </c>
      <c r="I160" s="23">
        <v>1327</v>
      </c>
      <c r="J160" s="17">
        <v>1648</v>
      </c>
      <c r="K160" s="17">
        <v>1728</v>
      </c>
      <c r="L160" s="20">
        <f aca="true" t="shared" si="33" ref="L160:N162">K160</f>
        <v>1728</v>
      </c>
      <c r="M160" s="20">
        <f t="shared" si="33"/>
        <v>1728</v>
      </c>
      <c r="N160" s="20">
        <f t="shared" si="33"/>
        <v>1728</v>
      </c>
      <c r="O160" s="47"/>
    </row>
    <row r="161" spans="2:15" ht="15">
      <c r="B161" s="96" t="s">
        <v>184</v>
      </c>
      <c r="C161" s="46"/>
      <c r="D161" s="46"/>
      <c r="E161" s="113">
        <v>0</v>
      </c>
      <c r="F161" s="113">
        <v>0</v>
      </c>
      <c r="G161" s="17">
        <v>0</v>
      </c>
      <c r="H161" s="17">
        <v>0</v>
      </c>
      <c r="I161" s="23">
        <v>1112</v>
      </c>
      <c r="J161" s="17">
        <v>0</v>
      </c>
      <c r="K161" s="20">
        <f>J161</f>
        <v>0</v>
      </c>
      <c r="L161" s="20">
        <f t="shared" si="33"/>
        <v>0</v>
      </c>
      <c r="M161" s="20">
        <f t="shared" si="33"/>
        <v>0</v>
      </c>
      <c r="N161" s="20">
        <f t="shared" si="33"/>
        <v>0</v>
      </c>
      <c r="O161" s="47"/>
    </row>
    <row r="162" spans="2:15" ht="15">
      <c r="B162" s="4" t="s">
        <v>185</v>
      </c>
      <c r="C162" s="46"/>
      <c r="D162" s="46"/>
      <c r="E162" s="113">
        <v>0</v>
      </c>
      <c r="F162" s="113">
        <v>0</v>
      </c>
      <c r="G162" s="17">
        <v>441</v>
      </c>
      <c r="H162" s="17">
        <v>189</v>
      </c>
      <c r="I162" s="23">
        <v>515</v>
      </c>
      <c r="J162" s="17">
        <v>0</v>
      </c>
      <c r="K162" s="20">
        <f>J162</f>
        <v>0</v>
      </c>
      <c r="L162" s="20">
        <f t="shared" si="33"/>
        <v>0</v>
      </c>
      <c r="M162" s="20">
        <f t="shared" si="33"/>
        <v>0</v>
      </c>
      <c r="N162" s="20">
        <f t="shared" si="33"/>
        <v>0</v>
      </c>
      <c r="O162" s="47"/>
    </row>
    <row r="163" spans="2:15" ht="15">
      <c r="B163" s="28" t="s">
        <v>186</v>
      </c>
      <c r="C163" s="64"/>
      <c r="D163" s="64"/>
      <c r="E163" s="27">
        <f aca="true" t="shared" si="34" ref="E163:N163">E159-SUM(E160:E162)</f>
        <v>8470</v>
      </c>
      <c r="F163" s="27">
        <f t="shared" si="34"/>
        <v>14440</v>
      </c>
      <c r="G163" s="27">
        <f t="shared" si="34"/>
        <v>14924</v>
      </c>
      <c r="H163" s="27">
        <f t="shared" si="34"/>
        <v>4742</v>
      </c>
      <c r="I163" s="27">
        <f t="shared" si="34"/>
        <v>8774</v>
      </c>
      <c r="J163" s="27">
        <f t="shared" si="34"/>
        <v>14589.86971898719</v>
      </c>
      <c r="K163" s="27">
        <f t="shared" si="34"/>
        <v>18153.962739062423</v>
      </c>
      <c r="L163" s="27">
        <f t="shared" si="34"/>
        <v>20615.291804788583</v>
      </c>
      <c r="M163" s="27">
        <f t="shared" si="34"/>
        <v>23148.88237151309</v>
      </c>
      <c r="N163" s="27">
        <f t="shared" si="34"/>
        <v>24905.882333208883</v>
      </c>
      <c r="O163" s="47"/>
    </row>
    <row r="164" spans="2:15" ht="15">
      <c r="B164" s="11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7"/>
    </row>
    <row r="165" spans="2:15" ht="15">
      <c r="B165" s="11" t="s">
        <v>187</v>
      </c>
      <c r="C165" s="46"/>
      <c r="D165" s="46"/>
      <c r="E165" s="114">
        <v>3492</v>
      </c>
      <c r="F165" s="114">
        <v>3470</v>
      </c>
      <c r="G165" s="36">
        <v>3404</v>
      </c>
      <c r="H165" s="36">
        <v>3501</v>
      </c>
      <c r="I165" s="115">
        <v>3862.8</v>
      </c>
      <c r="J165" s="116">
        <f aca="true" t="shared" si="35" ref="J165:N166">I165</f>
        <v>3862.8</v>
      </c>
      <c r="K165" s="116">
        <f t="shared" si="35"/>
        <v>3862.8</v>
      </c>
      <c r="L165" s="116">
        <f t="shared" si="35"/>
        <v>3862.8</v>
      </c>
      <c r="M165" s="116">
        <f t="shared" si="35"/>
        <v>3862.8</v>
      </c>
      <c r="N165" s="116">
        <f t="shared" si="35"/>
        <v>3862.8</v>
      </c>
      <c r="O165" s="47"/>
    </row>
    <row r="166" spans="2:15" ht="15">
      <c r="B166" s="11" t="s">
        <v>188</v>
      </c>
      <c r="C166" s="46"/>
      <c r="D166" s="46"/>
      <c r="E166" s="114">
        <v>3557</v>
      </c>
      <c r="F166" s="114">
        <v>3574</v>
      </c>
      <c r="G166" s="36">
        <v>3445</v>
      </c>
      <c r="H166" s="36">
        <v>3521.8</v>
      </c>
      <c r="I166" s="115">
        <v>3879.7</v>
      </c>
      <c r="J166" s="116">
        <f t="shared" si="35"/>
        <v>3879.7</v>
      </c>
      <c r="K166" s="116">
        <f t="shared" si="35"/>
        <v>3879.7</v>
      </c>
      <c r="L166" s="116">
        <f t="shared" si="35"/>
        <v>3879.7</v>
      </c>
      <c r="M166" s="116">
        <f t="shared" si="35"/>
        <v>3879.7</v>
      </c>
      <c r="N166" s="116">
        <f t="shared" si="35"/>
        <v>3879.7</v>
      </c>
      <c r="O166" s="47"/>
    </row>
    <row r="167" spans="2:15" ht="15">
      <c r="B167" s="11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7"/>
    </row>
    <row r="168" spans="2:15" ht="15">
      <c r="B168" s="2" t="s">
        <v>189</v>
      </c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7"/>
    </row>
    <row r="169" spans="2:15" ht="15">
      <c r="B169" s="4" t="s">
        <v>190</v>
      </c>
      <c r="C169" s="46"/>
      <c r="D169" s="46"/>
      <c r="E169" s="117">
        <f aca="true" t="shared" si="36" ref="E169:N169">(E$163-E$157-E$158)/E165</f>
        <v>2.3599656357388317</v>
      </c>
      <c r="F169" s="117">
        <f t="shared" si="36"/>
        <v>3.9322766570605188</v>
      </c>
      <c r="G169" s="117">
        <f t="shared" si="36"/>
        <v>4.384253819036427</v>
      </c>
      <c r="H169" s="117">
        <f t="shared" si="36"/>
        <v>0.8100542702085118</v>
      </c>
      <c r="I169" s="118">
        <f t="shared" si="36"/>
        <v>2.2517344931138035</v>
      </c>
      <c r="J169" s="117">
        <f t="shared" si="36"/>
        <v>3.7770191878914745</v>
      </c>
      <c r="K169" s="117">
        <f t="shared" si="36"/>
        <v>4.699690053604231</v>
      </c>
      <c r="L169" s="117">
        <f t="shared" si="36"/>
        <v>5.336877861858906</v>
      </c>
      <c r="M169" s="117">
        <f t="shared" si="36"/>
        <v>5.9927726963635415</v>
      </c>
      <c r="N169" s="117">
        <f t="shared" si="36"/>
        <v>6.447624089574631</v>
      </c>
      <c r="O169" s="47"/>
    </row>
    <row r="170" spans="2:15" ht="15">
      <c r="B170" s="4" t="s">
        <v>191</v>
      </c>
      <c r="C170" s="46"/>
      <c r="D170" s="46"/>
      <c r="E170" s="117">
        <f aca="true" t="shared" si="37" ref="E170:N170">(E$163-E$157-E$158)/E166</f>
        <v>2.3168400337362947</v>
      </c>
      <c r="F170" s="117">
        <f t="shared" si="37"/>
        <v>3.817851147174035</v>
      </c>
      <c r="G170" s="117">
        <f t="shared" si="37"/>
        <v>4.332075471698113</v>
      </c>
      <c r="H170" s="117">
        <f t="shared" si="37"/>
        <v>0.8052700323698109</v>
      </c>
      <c r="I170" s="118">
        <f t="shared" si="37"/>
        <v>2.2419259221073795</v>
      </c>
      <c r="J170" s="117">
        <f t="shared" si="37"/>
        <v>3.760566466218313</v>
      </c>
      <c r="K170" s="117">
        <f t="shared" si="37"/>
        <v>4.679218171266444</v>
      </c>
      <c r="L170" s="117">
        <f t="shared" si="37"/>
        <v>5.313630385026828</v>
      </c>
      <c r="M170" s="117">
        <f t="shared" si="37"/>
        <v>5.966668137101603</v>
      </c>
      <c r="N170" s="117">
        <f t="shared" si="37"/>
        <v>6.419538194501865</v>
      </c>
      <c r="O170" s="47"/>
    </row>
    <row r="171" spans="2:15" ht="15">
      <c r="B171" s="11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7"/>
    </row>
    <row r="172" spans="2:15" ht="15">
      <c r="B172" s="3" t="s">
        <v>192</v>
      </c>
      <c r="C172" s="48"/>
      <c r="D172" s="48"/>
      <c r="E172" s="119">
        <v>1.36</v>
      </c>
      <c r="F172" s="119">
        <v>1.36</v>
      </c>
      <c r="G172" s="119">
        <v>1.48</v>
      </c>
      <c r="H172" s="119">
        <v>1.52</v>
      </c>
      <c r="I172" s="119">
        <v>0.2</v>
      </c>
      <c r="J172" s="120"/>
      <c r="K172" s="120"/>
      <c r="L172" s="120"/>
      <c r="M172" s="120"/>
      <c r="N172" s="120"/>
      <c r="O172" s="49"/>
    </row>
    <row r="174" spans="2:15" ht="15">
      <c r="B174" s="42" t="str">
        <f>Company_Name&amp;" - Income Statement Drivers"</f>
        <v>JPMorgan Chase &amp; Co. - Income Statement Drivers</v>
      </c>
      <c r="C174" s="50"/>
      <c r="D174" s="50"/>
      <c r="E174" s="50"/>
      <c r="F174" s="50"/>
      <c r="G174" s="51"/>
      <c r="H174" s="51"/>
      <c r="I174" s="51"/>
      <c r="J174" s="51"/>
      <c r="K174" s="51"/>
      <c r="L174" s="51"/>
      <c r="M174" s="51"/>
      <c r="N174" s="51"/>
      <c r="O174" s="52"/>
    </row>
    <row r="175" spans="2:15" ht="15">
      <c r="B175" s="11" t="s">
        <v>193</v>
      </c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7"/>
    </row>
    <row r="176" spans="2:15" ht="15">
      <c r="B176" s="11"/>
      <c r="C176" s="46"/>
      <c r="D176" s="46"/>
      <c r="E176" s="13" t="str">
        <f>LLRs!$E$4</f>
        <v>Historical</v>
      </c>
      <c r="F176" s="13"/>
      <c r="G176" s="13"/>
      <c r="H176" s="13"/>
      <c r="I176" s="13"/>
      <c r="J176" s="12" t="str">
        <f>LLRs!$J$4</f>
        <v>Projected</v>
      </c>
      <c r="K176" s="12"/>
      <c r="L176" s="12"/>
      <c r="M176" s="12"/>
      <c r="N176" s="12"/>
      <c r="O176" s="47"/>
    </row>
    <row r="177" spans="2:15" ht="15">
      <c r="B177" s="14" t="str">
        <f>Loans!$B$5</f>
        <v>December 31, </v>
      </c>
      <c r="C177" s="48"/>
      <c r="D177" s="48"/>
      <c r="E177" s="69">
        <f>Loans!$E$5</f>
        <v>2005</v>
      </c>
      <c r="F177" s="69">
        <f>Loans!$F$5</f>
        <v>2006</v>
      </c>
      <c r="G177" s="69">
        <f>Loans!$G$5</f>
        <v>2007</v>
      </c>
      <c r="H177" s="69">
        <f>Loans!$H$5</f>
        <v>2008</v>
      </c>
      <c r="I177" s="70">
        <f>Loans!$I$5</f>
        <v>2009</v>
      </c>
      <c r="J177" s="15">
        <f>Loans!$J$5</f>
        <v>2010</v>
      </c>
      <c r="K177" s="15">
        <f>Loans!$K$5</f>
        <v>2011</v>
      </c>
      <c r="L177" s="15">
        <f>Loans!$L$5</f>
        <v>2012</v>
      </c>
      <c r="M177" s="15">
        <f>Loans!$M$5</f>
        <v>2013</v>
      </c>
      <c r="N177" s="15">
        <f>Loans!$N$5</f>
        <v>2014</v>
      </c>
      <c r="O177" s="47"/>
    </row>
    <row r="178" spans="2:15" ht="15">
      <c r="B178" s="122" t="s">
        <v>155</v>
      </c>
      <c r="C178" s="93"/>
      <c r="D178" s="93"/>
      <c r="E178" s="110"/>
      <c r="F178" s="110"/>
      <c r="G178" s="110"/>
      <c r="H178" s="110"/>
      <c r="I178" s="123"/>
      <c r="J178" s="110"/>
      <c r="K178" s="110"/>
      <c r="L178" s="110"/>
      <c r="M178" s="110"/>
      <c r="N178" s="110"/>
      <c r="O178" s="47"/>
    </row>
    <row r="179" spans="2:15" ht="15">
      <c r="B179" s="11" t="s">
        <v>194</v>
      </c>
      <c r="C179" s="46"/>
      <c r="D179" s="46"/>
      <c r="E179" s="40">
        <v>0.15610859728506776</v>
      </c>
      <c r="F179" s="124">
        <f>F125/E125-1</f>
        <v>0.35029354207436403</v>
      </c>
      <c r="G179" s="124">
        <f>G125/F125-1</f>
        <v>0.20199275362318847</v>
      </c>
      <c r="H179" s="124">
        <f>H125/G125-1</f>
        <v>-0.1671439336850038</v>
      </c>
      <c r="I179" s="125">
        <f>I125/H125-1</f>
        <v>0.28248280854144037</v>
      </c>
      <c r="J179" s="40">
        <v>0.1</v>
      </c>
      <c r="K179" s="40">
        <v>0.075</v>
      </c>
      <c r="L179" s="40">
        <v>0.075</v>
      </c>
      <c r="M179" s="40">
        <v>0.05</v>
      </c>
      <c r="N179" s="40">
        <v>0.05</v>
      </c>
      <c r="O179" s="47"/>
    </row>
    <row r="180" spans="2:15" ht="15">
      <c r="B180" s="11" t="s">
        <v>195</v>
      </c>
      <c r="C180" s="46"/>
      <c r="D180" s="46"/>
      <c r="E180" s="46"/>
      <c r="F180" s="46"/>
      <c r="G180" s="46"/>
      <c r="H180" s="46"/>
      <c r="I180" s="25"/>
      <c r="J180" s="46"/>
      <c r="K180" s="46"/>
      <c r="L180" s="46"/>
      <c r="M180" s="46"/>
      <c r="N180" s="46"/>
      <c r="O180" s="47"/>
    </row>
    <row r="181" spans="2:15" ht="15">
      <c r="B181" s="4" t="s">
        <v>83</v>
      </c>
      <c r="C181" s="46"/>
      <c r="D181" s="46"/>
      <c r="E181" s="40">
        <v>0.026120972562590366</v>
      </c>
      <c r="F181" s="124">
        <f>F126/AVERAGE(E11,F11)</f>
        <v>0.03115725439118225</v>
      </c>
      <c r="G181" s="124">
        <f>G126/AVERAGE(F11,G11)</f>
        <v>0.02103489833132473</v>
      </c>
      <c r="H181" s="124">
        <f>H126/AVERAGE(G11,H11)</f>
        <v>-0.021368255388499208</v>
      </c>
      <c r="I181" s="125">
        <f>I126/AVERAGE(H11,I11)</f>
        <v>0.021269966377559273</v>
      </c>
      <c r="J181" s="40">
        <v>0.025</v>
      </c>
      <c r="K181" s="40">
        <v>0.025</v>
      </c>
      <c r="L181" s="40">
        <v>0.025</v>
      </c>
      <c r="M181" s="40">
        <v>0.025</v>
      </c>
      <c r="N181" s="40">
        <v>0.03</v>
      </c>
      <c r="O181" s="47"/>
    </row>
    <row r="182" spans="2:15" ht="15">
      <c r="B182" s="11" t="s">
        <v>196</v>
      </c>
      <c r="C182" s="46"/>
      <c r="D182" s="46"/>
      <c r="E182" s="46"/>
      <c r="F182" s="46"/>
      <c r="G182" s="46"/>
      <c r="H182" s="46"/>
      <c r="I182" s="25"/>
      <c r="J182" s="46"/>
      <c r="K182" s="46"/>
      <c r="L182" s="46"/>
      <c r="M182" s="46"/>
      <c r="N182" s="46"/>
      <c r="O182" s="47"/>
    </row>
    <row r="183" spans="2:15" ht="15">
      <c r="B183" s="4" t="s">
        <v>197</v>
      </c>
      <c r="C183" s="46"/>
      <c r="D183" s="46"/>
      <c r="E183" s="77">
        <v>0.0035716751093028487</v>
      </c>
      <c r="F183" s="81">
        <f>F128/AVERAGE(E14+E25,F14+F25)</f>
        <v>0.0033090750524557098</v>
      </c>
      <c r="G183" s="81">
        <f>G128/AVERAGE(F14+F25,G14+G25)</f>
        <v>0.00330644155772188</v>
      </c>
      <c r="H183" s="81">
        <f>H128/AVERAGE(G14+G25,H14+H25)</f>
        <v>0.003375933930425107</v>
      </c>
      <c r="I183" s="104">
        <f>I128/AVERAGE(H14+H25,I14+I25)</f>
        <v>0.004236319903788335</v>
      </c>
      <c r="J183" s="77">
        <v>0.004</v>
      </c>
      <c r="K183" s="77">
        <v>0.0039</v>
      </c>
      <c r="L183" s="77">
        <v>0.0038</v>
      </c>
      <c r="M183" s="77">
        <v>0.0037</v>
      </c>
      <c r="N183" s="77">
        <v>0.0036</v>
      </c>
      <c r="O183" s="47"/>
    </row>
    <row r="184" spans="2:15" ht="15">
      <c r="B184" s="11"/>
      <c r="C184" s="46"/>
      <c r="D184" s="46"/>
      <c r="E184" s="46"/>
      <c r="F184" s="46"/>
      <c r="G184" s="46"/>
      <c r="H184" s="46"/>
      <c r="I184" s="25"/>
      <c r="J184" s="46"/>
      <c r="K184" s="46"/>
      <c r="L184" s="46"/>
      <c r="M184" s="46"/>
      <c r="N184" s="46"/>
      <c r="O184" s="47"/>
    </row>
    <row r="185" spans="2:15" ht="15">
      <c r="B185" s="11" t="s">
        <v>198</v>
      </c>
      <c r="C185" s="46"/>
      <c r="D185" s="126"/>
      <c r="E185" s="16">
        <v>1149</v>
      </c>
      <c r="F185" s="16">
        <v>1347</v>
      </c>
      <c r="G185" s="16">
        <v>1572</v>
      </c>
      <c r="H185" s="16">
        <v>1496</v>
      </c>
      <c r="I185" s="22">
        <v>1701</v>
      </c>
      <c r="J185" s="19">
        <f>I185*(1+J186)</f>
        <v>1871.1000000000001</v>
      </c>
      <c r="K185" s="19">
        <f>J185*(1+K186)</f>
        <v>2020.7880000000002</v>
      </c>
      <c r="L185" s="19">
        <f>K185*(1+L186)</f>
        <v>2142.0352800000005</v>
      </c>
      <c r="M185" s="19">
        <f>L185*(1+M186)</f>
        <v>2270.557396800001</v>
      </c>
      <c r="N185" s="19">
        <f>M185*(1+N186)</f>
        <v>2361.379692672001</v>
      </c>
      <c r="O185" s="47"/>
    </row>
    <row r="186" spans="2:15" ht="15">
      <c r="B186" s="4" t="s">
        <v>199</v>
      </c>
      <c r="C186" s="46"/>
      <c r="D186" s="46"/>
      <c r="E186" s="40">
        <v>0.03887884267631092</v>
      </c>
      <c r="F186" s="124">
        <f>F185/E185-1</f>
        <v>0.1723237597911227</v>
      </c>
      <c r="G186" s="124">
        <f>G185/F185-1</f>
        <v>0.1670378619153674</v>
      </c>
      <c r="H186" s="124">
        <f>H185/G185-1</f>
        <v>-0.04834605597964381</v>
      </c>
      <c r="I186" s="125">
        <f>I185/H185-1</f>
        <v>0.13703208556149726</v>
      </c>
      <c r="J186" s="40">
        <v>0.1</v>
      </c>
      <c r="K186" s="40">
        <v>0.08</v>
      </c>
      <c r="L186" s="40">
        <v>0.06</v>
      </c>
      <c r="M186" s="40">
        <v>0.06</v>
      </c>
      <c r="N186" s="40">
        <v>0.04</v>
      </c>
      <c r="O186" s="47"/>
    </row>
    <row r="187" spans="2:15" ht="15">
      <c r="B187" s="11"/>
      <c r="C187" s="46"/>
      <c r="D187" s="46"/>
      <c r="E187" s="46"/>
      <c r="F187" s="46"/>
      <c r="G187" s="46"/>
      <c r="H187" s="46"/>
      <c r="I187" s="25"/>
      <c r="J187" s="46"/>
      <c r="K187" s="46"/>
      <c r="L187" s="46"/>
      <c r="M187" s="46"/>
      <c r="N187" s="46"/>
      <c r="O187" s="47"/>
    </row>
    <row r="188" spans="2:15" ht="15">
      <c r="B188" s="11" t="s">
        <v>200</v>
      </c>
      <c r="C188" s="46"/>
      <c r="D188" s="46"/>
      <c r="E188" s="45"/>
      <c r="F188" s="45"/>
      <c r="G188" s="45"/>
      <c r="H188" s="45"/>
      <c r="I188" s="8"/>
      <c r="J188" s="45"/>
      <c r="K188" s="45"/>
      <c r="L188" s="45"/>
      <c r="M188" s="45"/>
      <c r="N188" s="45"/>
      <c r="O188" s="47"/>
    </row>
    <row r="189" spans="2:15" ht="15">
      <c r="B189" s="4" t="s">
        <v>201</v>
      </c>
      <c r="C189" s="46"/>
      <c r="D189" s="46"/>
      <c r="E189" s="77">
        <v>0.00877250554323725</v>
      </c>
      <c r="F189" s="81">
        <f>F129/AVERAGE(E185,F185)/Units</f>
        <v>0.00939503205128205</v>
      </c>
      <c r="G189" s="81">
        <f>G129/AVERAGE(F185,G185)/Units</f>
        <v>0.009836245289482699</v>
      </c>
      <c r="H189" s="81">
        <f>H129/AVERAGE(G185,H185)/Units</f>
        <v>0.009089308996088659</v>
      </c>
      <c r="I189" s="104">
        <f>I129/AVERAGE(H185,I185)/Units</f>
        <v>0.007844854551141695</v>
      </c>
      <c r="J189" s="77">
        <v>0.008</v>
      </c>
      <c r="K189" s="81">
        <f>J189</f>
        <v>0.008</v>
      </c>
      <c r="L189" s="81">
        <f>K189</f>
        <v>0.008</v>
      </c>
      <c r="M189" s="81">
        <f>L189</f>
        <v>0.008</v>
      </c>
      <c r="N189" s="81">
        <f>M189</f>
        <v>0.008</v>
      </c>
      <c r="O189" s="47"/>
    </row>
    <row r="190" spans="2:15" ht="15">
      <c r="B190" s="11"/>
      <c r="C190" s="46"/>
      <c r="D190" s="46"/>
      <c r="E190" s="46"/>
      <c r="F190" s="46"/>
      <c r="G190" s="46"/>
      <c r="H190" s="46"/>
      <c r="I190" s="25"/>
      <c r="J190" s="46"/>
      <c r="K190" s="46"/>
      <c r="L190" s="46"/>
      <c r="M190" s="46"/>
      <c r="N190" s="46"/>
      <c r="O190" s="47"/>
    </row>
    <row r="191" spans="2:15" ht="15">
      <c r="B191" s="11" t="s">
        <v>202</v>
      </c>
      <c r="C191" s="46"/>
      <c r="D191" s="46"/>
      <c r="E191" s="79">
        <f>SUM(Loans!E28:E29)</f>
        <v>132825</v>
      </c>
      <c r="F191" s="79">
        <f>SUM(Loans!F28:F29)</f>
        <v>145398</v>
      </c>
      <c r="G191" s="79">
        <f>SUM(Loans!G28:G29)</f>
        <v>150863</v>
      </c>
      <c r="H191" s="79">
        <f>SUM(Loans!H28:H29)</f>
        <v>299968</v>
      </c>
      <c r="I191" s="80">
        <f>SUM(Loans!I28:I29)</f>
        <v>271074</v>
      </c>
      <c r="J191" s="80">
        <f>SUM(Loans!J28:J29)</f>
        <v>298181.4</v>
      </c>
      <c r="K191" s="80">
        <f>SUM(Loans!K28:K29)</f>
        <v>320545.005</v>
      </c>
      <c r="L191" s="80">
        <f>SUM(Loans!L28:L29)</f>
        <v>344585.880375</v>
      </c>
      <c r="M191" s="80">
        <f>SUM(Loans!M28:M29)</f>
        <v>361815.17439375</v>
      </c>
      <c r="N191" s="80">
        <f>SUM(Loans!N28:N29)</f>
        <v>379905.93311343755</v>
      </c>
      <c r="O191" s="47"/>
    </row>
    <row r="192" spans="2:15" ht="15">
      <c r="B192" s="4" t="s">
        <v>203</v>
      </c>
      <c r="C192" s="46"/>
      <c r="D192" s="46"/>
      <c r="E192" s="77">
        <v>0.008216625804414682</v>
      </c>
      <c r="F192" s="81">
        <f>F130/AVERAGE(E191,F191)</f>
        <v>0.0042483906794190274</v>
      </c>
      <c r="G192" s="81">
        <f>G130/AVERAGE(F191,G191)</f>
        <v>0.014298203273464951</v>
      </c>
      <c r="H192" s="81">
        <f>H130/AVERAGE(G191,H191)</f>
        <v>0.015380486257599855</v>
      </c>
      <c r="I192" s="104">
        <f>I130/AVERAGE(H191,I191)</f>
        <v>0.012881714479845615</v>
      </c>
      <c r="J192" s="77">
        <v>0.012</v>
      </c>
      <c r="K192" s="77">
        <v>0.011</v>
      </c>
      <c r="L192" s="77">
        <v>0.01</v>
      </c>
      <c r="M192" s="77">
        <v>0.009</v>
      </c>
      <c r="N192" s="77">
        <v>0.009</v>
      </c>
      <c r="O192" s="47"/>
    </row>
    <row r="193" spans="2:15" ht="15">
      <c r="B193" s="11"/>
      <c r="C193" s="46"/>
      <c r="D193" s="46"/>
      <c r="E193" s="46"/>
      <c r="F193" s="46"/>
      <c r="G193" s="46"/>
      <c r="H193" s="46"/>
      <c r="I193" s="25"/>
      <c r="J193" s="46"/>
      <c r="K193" s="46"/>
      <c r="L193" s="46"/>
      <c r="M193" s="46"/>
      <c r="N193" s="46"/>
      <c r="O193" s="47"/>
    </row>
    <row r="194" spans="2:15" ht="15">
      <c r="B194" s="11" t="s">
        <v>25</v>
      </c>
      <c r="C194" s="46"/>
      <c r="D194" s="46"/>
      <c r="E194" s="83">
        <f>Loans!E31</f>
        <v>71738</v>
      </c>
      <c r="F194" s="83">
        <f>Loans!F31</f>
        <v>85881</v>
      </c>
      <c r="G194" s="83">
        <f>Loans!G31</f>
        <v>84352</v>
      </c>
      <c r="H194" s="83">
        <f>Loans!H31</f>
        <v>104746</v>
      </c>
      <c r="I194" s="78">
        <f>Loans!I31</f>
        <v>78786</v>
      </c>
      <c r="J194" s="83">
        <f>Loans!J31</f>
        <v>84694.95</v>
      </c>
      <c r="K194" s="83">
        <f>Loans!K31</f>
        <v>91047.07125</v>
      </c>
      <c r="L194" s="83">
        <f>Loans!L31</f>
        <v>95599.4248125</v>
      </c>
      <c r="M194" s="83">
        <f>Loans!M31</f>
        <v>100379.396053125</v>
      </c>
      <c r="N194" s="83">
        <f>Loans!N31</f>
        <v>105398.36585578126</v>
      </c>
      <c r="O194" s="47"/>
    </row>
    <row r="195" spans="2:15" ht="15">
      <c r="B195" s="4" t="s">
        <v>204</v>
      </c>
      <c r="C195" s="46"/>
      <c r="D195" s="46"/>
      <c r="E195" s="40">
        <v>0.09909546411567495</v>
      </c>
      <c r="F195" s="124">
        <f>F131/AVERAGE(E194,F194)</f>
        <v>0.08771785127427531</v>
      </c>
      <c r="G195" s="124">
        <f>G131/AVERAGE(F194,G194)</f>
        <v>0.08119459799216368</v>
      </c>
      <c r="H195" s="124">
        <f>H131/AVERAGE(G194,H194)</f>
        <v>0.07846724978582534</v>
      </c>
      <c r="I195" s="125">
        <f>I131/AVERAGE(H194,I194)</f>
        <v>0.07747967656866378</v>
      </c>
      <c r="J195" s="40">
        <v>0.076</v>
      </c>
      <c r="K195" s="40">
        <v>0.075</v>
      </c>
      <c r="L195" s="40">
        <v>0.074</v>
      </c>
      <c r="M195" s="40">
        <v>0.073</v>
      </c>
      <c r="N195" s="40">
        <v>0.072</v>
      </c>
      <c r="O195" s="47"/>
    </row>
    <row r="196" spans="2:15" ht="15">
      <c r="B196" s="11"/>
      <c r="C196" s="46"/>
      <c r="D196" s="46"/>
      <c r="E196" s="46"/>
      <c r="F196" s="46"/>
      <c r="G196" s="46"/>
      <c r="H196" s="46"/>
      <c r="I196" s="25"/>
      <c r="J196" s="46"/>
      <c r="K196" s="46"/>
      <c r="L196" s="46"/>
      <c r="M196" s="46"/>
      <c r="N196" s="46"/>
      <c r="O196" s="47"/>
    </row>
    <row r="197" spans="2:15" ht="15">
      <c r="B197" s="98" t="s">
        <v>205</v>
      </c>
      <c r="C197" s="48"/>
      <c r="D197" s="48"/>
      <c r="E197" s="129">
        <v>2.249394673123487</v>
      </c>
      <c r="F197" s="127">
        <f>F132/E132-1</f>
        <v>-0.18964232488822652</v>
      </c>
      <c r="G197" s="127">
        <f>G132/F132-1</f>
        <v>-0.15908045977011498</v>
      </c>
      <c r="H197" s="127">
        <f>H132/G132-1</f>
        <v>0.18589393110989616</v>
      </c>
      <c r="I197" s="128">
        <f>I132/H132-1</f>
        <v>-0.5776855693868141</v>
      </c>
      <c r="J197" s="129">
        <v>-0.1</v>
      </c>
      <c r="K197" s="129">
        <v>-0.05</v>
      </c>
      <c r="L197" s="129">
        <v>0</v>
      </c>
      <c r="M197" s="129">
        <v>0.05</v>
      </c>
      <c r="N197" s="129">
        <v>0.1</v>
      </c>
      <c r="O197" s="47"/>
    </row>
    <row r="198" spans="2:15" ht="15">
      <c r="B198" s="2" t="s">
        <v>167</v>
      </c>
      <c r="C198" s="46"/>
      <c r="D198" s="46"/>
      <c r="E198" s="46"/>
      <c r="F198" s="46"/>
      <c r="G198" s="46"/>
      <c r="H198" s="46"/>
      <c r="I198" s="25"/>
      <c r="J198" s="46"/>
      <c r="K198" s="46"/>
      <c r="L198" s="46"/>
      <c r="M198" s="46"/>
      <c r="N198" s="46"/>
      <c r="O198" s="47"/>
    </row>
    <row r="199" spans="2:15" ht="15">
      <c r="B199" s="11" t="s">
        <v>206</v>
      </c>
      <c r="C199" s="46"/>
      <c r="D199" s="46"/>
      <c r="E199" s="46"/>
      <c r="F199" s="46"/>
      <c r="G199" s="46"/>
      <c r="H199" s="46"/>
      <c r="I199" s="25"/>
      <c r="J199" s="46"/>
      <c r="K199" s="46"/>
      <c r="L199" s="46"/>
      <c r="M199" s="46"/>
      <c r="N199" s="46"/>
      <c r="O199" s="47"/>
    </row>
    <row r="200" spans="2:15" ht="15">
      <c r="B200" s="4" t="str">
        <f aca="true" t="shared" si="38" ref="B200:B205">B144</f>
        <v>Compensation Expense:</v>
      </c>
      <c r="C200" s="46"/>
      <c r="D200" s="46"/>
      <c r="E200" s="124">
        <f aca="true" t="shared" si="39" ref="E200:I205">E144/E$139</f>
        <v>0.3361055295080747</v>
      </c>
      <c r="F200" s="124">
        <f t="shared" si="39"/>
        <v>0.34492244087439167</v>
      </c>
      <c r="G200" s="124">
        <f t="shared" si="39"/>
        <v>0.31789777503782995</v>
      </c>
      <c r="H200" s="124">
        <f t="shared" si="39"/>
        <v>0.33822042467138524</v>
      </c>
      <c r="I200" s="125">
        <f t="shared" si="39"/>
        <v>0.26811637493279167</v>
      </c>
      <c r="J200" s="39">
        <f aca="true" t="shared" si="40" ref="J200:J205">AVERAGE(E200:I200)</f>
        <v>0.3210525090048947</v>
      </c>
      <c r="K200" s="39">
        <f>J200</f>
        <v>0.3210525090048947</v>
      </c>
      <c r="L200" s="39">
        <f>K200</f>
        <v>0.3210525090048947</v>
      </c>
      <c r="M200" s="39">
        <f>L200</f>
        <v>0.3210525090048947</v>
      </c>
      <c r="N200" s="39">
        <f>M200</f>
        <v>0.3210525090048947</v>
      </c>
      <c r="O200" s="47"/>
    </row>
    <row r="201" spans="2:15" ht="15">
      <c r="B201" s="4" t="str">
        <f t="shared" si="38"/>
        <v>Occupancy Expense:</v>
      </c>
      <c r="C201" s="46"/>
      <c r="D201" s="46"/>
      <c r="E201" s="124">
        <f t="shared" si="39"/>
        <v>0.042215524298578555</v>
      </c>
      <c r="F201" s="124">
        <f t="shared" si="39"/>
        <v>0.038006413073555026</v>
      </c>
      <c r="G201" s="124">
        <f t="shared" si="39"/>
        <v>0.036540940424816454</v>
      </c>
      <c r="H201" s="124">
        <f t="shared" si="39"/>
        <v>0.04517337774341283</v>
      </c>
      <c r="I201" s="125">
        <f t="shared" si="39"/>
        <v>0.03650158312921919</v>
      </c>
      <c r="J201" s="39">
        <f t="shared" si="40"/>
        <v>0.039687567733916414</v>
      </c>
      <c r="K201" s="39">
        <f aca="true" t="shared" si="41" ref="K201:N205">J201</f>
        <v>0.039687567733916414</v>
      </c>
      <c r="L201" s="39">
        <f t="shared" si="41"/>
        <v>0.039687567733916414</v>
      </c>
      <c r="M201" s="39">
        <f t="shared" si="41"/>
        <v>0.039687567733916414</v>
      </c>
      <c r="N201" s="39">
        <f t="shared" si="41"/>
        <v>0.039687567733916414</v>
      </c>
      <c r="O201" s="47"/>
    </row>
    <row r="202" spans="2:15" ht="15">
      <c r="B202" s="4" t="str">
        <f t="shared" si="38"/>
        <v>Technology &amp; Equipment:</v>
      </c>
      <c r="C202" s="46"/>
      <c r="D202" s="46"/>
      <c r="E202" s="124">
        <f t="shared" si="39"/>
        <v>0.0670164471236139</v>
      </c>
      <c r="F202" s="124">
        <f t="shared" si="39"/>
        <v>0.05945928349366017</v>
      </c>
      <c r="G202" s="124">
        <f t="shared" si="39"/>
        <v>0.05294793476433335</v>
      </c>
      <c r="H202" s="124">
        <f t="shared" si="39"/>
        <v>0.06416166061975852</v>
      </c>
      <c r="I202" s="125">
        <f t="shared" si="39"/>
        <v>0.046040185594519785</v>
      </c>
      <c r="J202" s="39">
        <f t="shared" si="40"/>
        <v>0.05792510231917715</v>
      </c>
      <c r="K202" s="39">
        <f t="shared" si="41"/>
        <v>0.05792510231917715</v>
      </c>
      <c r="L202" s="39">
        <f t="shared" si="41"/>
        <v>0.05792510231917715</v>
      </c>
      <c r="M202" s="39">
        <f t="shared" si="41"/>
        <v>0.05792510231917715</v>
      </c>
      <c r="N202" s="39">
        <f t="shared" si="41"/>
        <v>0.05792510231917715</v>
      </c>
      <c r="O202" s="47"/>
    </row>
    <row r="203" spans="2:15" ht="15">
      <c r="B203" s="4" t="str">
        <f t="shared" si="38"/>
        <v>Professional Services:</v>
      </c>
      <c r="C203" s="46"/>
      <c r="D203" s="46"/>
      <c r="E203" s="124">
        <f t="shared" si="39"/>
        <v>0.0774354394582124</v>
      </c>
      <c r="F203" s="124">
        <f t="shared" si="39"/>
        <v>0.06328434005566679</v>
      </c>
      <c r="G203" s="124">
        <f t="shared" si="39"/>
        <v>0.07201703749369501</v>
      </c>
      <c r="H203" s="124">
        <f t="shared" si="39"/>
        <v>0.09000475822280378</v>
      </c>
      <c r="I203" s="125">
        <f t="shared" si="39"/>
        <v>0.06205069996216421</v>
      </c>
      <c r="J203" s="39">
        <f t="shared" si="40"/>
        <v>0.07295845503850844</v>
      </c>
      <c r="K203" s="39">
        <f t="shared" si="41"/>
        <v>0.07295845503850844</v>
      </c>
      <c r="L203" s="39">
        <f t="shared" si="41"/>
        <v>0.07295845503850844</v>
      </c>
      <c r="M203" s="39">
        <f t="shared" si="41"/>
        <v>0.07295845503850844</v>
      </c>
      <c r="N203" s="39">
        <f t="shared" si="41"/>
        <v>0.07295845503850844</v>
      </c>
      <c r="O203" s="47"/>
    </row>
    <row r="204" spans="2:15" ht="15">
      <c r="B204" s="4" t="str">
        <f t="shared" si="38"/>
        <v>Marketing:</v>
      </c>
      <c r="C204" s="46"/>
      <c r="D204" s="46"/>
      <c r="E204" s="124">
        <f t="shared" si="39"/>
        <v>0.03566644340254521</v>
      </c>
      <c r="F204" s="124">
        <f t="shared" si="39"/>
        <v>0.03595553168286212</v>
      </c>
      <c r="G204" s="124">
        <f t="shared" si="39"/>
        <v>0.029002970352519194</v>
      </c>
      <c r="H204" s="124">
        <f t="shared" si="39"/>
        <v>0.028445250698863975</v>
      </c>
      <c r="I204" s="125">
        <f t="shared" si="39"/>
        <v>0.01769321146225382</v>
      </c>
      <c r="J204" s="39">
        <f t="shared" si="40"/>
        <v>0.029352681519808865</v>
      </c>
      <c r="K204" s="39">
        <f t="shared" si="41"/>
        <v>0.029352681519808865</v>
      </c>
      <c r="L204" s="39">
        <f t="shared" si="41"/>
        <v>0.029352681519808865</v>
      </c>
      <c r="M204" s="39">
        <f t="shared" si="41"/>
        <v>0.029352681519808865</v>
      </c>
      <c r="N204" s="39">
        <f t="shared" si="41"/>
        <v>0.029352681519808865</v>
      </c>
      <c r="O204" s="47"/>
    </row>
    <row r="205" spans="2:15" ht="15">
      <c r="B205" s="88" t="str">
        <f t="shared" si="38"/>
        <v>Other Expenses:</v>
      </c>
      <c r="C205" s="48"/>
      <c r="D205" s="48"/>
      <c r="E205" s="127">
        <f t="shared" si="39"/>
        <v>0.11533452407531443</v>
      </c>
      <c r="F205" s="127">
        <f t="shared" si="39"/>
        <v>0.05325780881227925</v>
      </c>
      <c r="G205" s="127">
        <f t="shared" si="39"/>
        <v>0.053438323151936334</v>
      </c>
      <c r="H205" s="127">
        <f t="shared" si="39"/>
        <v>0.055611729019211326</v>
      </c>
      <c r="I205" s="128">
        <f t="shared" si="39"/>
        <v>0.07561184459446005</v>
      </c>
      <c r="J205" s="130">
        <f t="shared" si="40"/>
        <v>0.07065084593064028</v>
      </c>
      <c r="K205" s="130">
        <f t="shared" si="41"/>
        <v>0.07065084593064028</v>
      </c>
      <c r="L205" s="130">
        <f t="shared" si="41"/>
        <v>0.07065084593064028</v>
      </c>
      <c r="M205" s="130">
        <f t="shared" si="41"/>
        <v>0.07065084593064028</v>
      </c>
      <c r="N205" s="130">
        <f t="shared" si="41"/>
        <v>0.07065084593064028</v>
      </c>
      <c r="O205" s="47"/>
    </row>
    <row r="206" spans="2:15" ht="15">
      <c r="B206" s="4"/>
      <c r="C206" s="46"/>
      <c r="D206" s="46"/>
      <c r="E206" s="46"/>
      <c r="F206" s="46"/>
      <c r="G206" s="46"/>
      <c r="H206" s="46"/>
      <c r="I206" s="25"/>
      <c r="J206" s="46"/>
      <c r="K206" s="46"/>
      <c r="L206" s="46"/>
      <c r="M206" s="46"/>
      <c r="N206" s="46"/>
      <c r="O206" s="47"/>
    </row>
    <row r="207" spans="2:15" ht="15">
      <c r="B207" s="14" t="s">
        <v>207</v>
      </c>
      <c r="C207" s="48"/>
      <c r="D207" s="48"/>
      <c r="E207" s="131">
        <f>E155/E154</f>
        <v>0.3028127375622941</v>
      </c>
      <c r="F207" s="131">
        <f>F155/F154</f>
        <v>0.3136377350900131</v>
      </c>
      <c r="G207" s="131">
        <f>G155/G154</f>
        <v>0.3262442446831835</v>
      </c>
      <c r="H207" s="131">
        <f>H155/H154</f>
        <v>-0.33393436711143165</v>
      </c>
      <c r="I207" s="132">
        <f>I155/I154</f>
        <v>0.2747868301487521</v>
      </c>
      <c r="J207" s="129">
        <v>0.3</v>
      </c>
      <c r="K207" s="130">
        <f>J207</f>
        <v>0.3</v>
      </c>
      <c r="L207" s="130">
        <f>K207</f>
        <v>0.3</v>
      </c>
      <c r="M207" s="130">
        <f>L207</f>
        <v>0.3</v>
      </c>
      <c r="N207" s="130">
        <f>M207</f>
        <v>0.3</v>
      </c>
      <c r="O207" s="49"/>
    </row>
    <row r="209" spans="2:15" ht="15">
      <c r="B209" s="42" t="str">
        <f>Company_Name&amp;" - Cash Flow Statement"</f>
        <v>JPMorgan Chase &amp; Co. - Cash Flow Statement</v>
      </c>
      <c r="C209" s="50"/>
      <c r="D209" s="50"/>
      <c r="E209" s="50"/>
      <c r="F209" s="50"/>
      <c r="G209" s="51"/>
      <c r="H209" s="51"/>
      <c r="I209" s="51"/>
      <c r="J209" s="51"/>
      <c r="K209" s="51"/>
      <c r="L209" s="51"/>
      <c r="M209" s="51"/>
      <c r="N209" s="51"/>
      <c r="O209" s="52"/>
    </row>
    <row r="210" spans="2:15" ht="15">
      <c r="B210" s="11" t="str">
        <f>Loans!$B$3</f>
        <v>($ in Millions)</v>
      </c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7"/>
    </row>
    <row r="211" spans="2:15" ht="15">
      <c r="B211" s="11"/>
      <c r="C211" s="46"/>
      <c r="D211" s="46"/>
      <c r="E211" s="13" t="str">
        <f>LLRs!$E$4</f>
        <v>Historical</v>
      </c>
      <c r="F211" s="13"/>
      <c r="G211" s="13"/>
      <c r="H211" s="13"/>
      <c r="I211" s="13"/>
      <c r="J211" s="12" t="str">
        <f>LLRs!$J$4</f>
        <v>Projected</v>
      </c>
      <c r="K211" s="12"/>
      <c r="L211" s="12"/>
      <c r="M211" s="12"/>
      <c r="N211" s="12"/>
      <c r="O211" s="47"/>
    </row>
    <row r="212" spans="2:15" ht="15">
      <c r="B212" s="14" t="str">
        <f>Loans!$B$5</f>
        <v>December 31, </v>
      </c>
      <c r="C212" s="48"/>
      <c r="D212" s="48"/>
      <c r="E212" s="69">
        <f>Loans!$E$5</f>
        <v>2005</v>
      </c>
      <c r="F212" s="69">
        <f>Loans!$F$5</f>
        <v>2006</v>
      </c>
      <c r="G212" s="69">
        <f>Loans!$G$5</f>
        <v>2007</v>
      </c>
      <c r="H212" s="69">
        <f>Loans!$H$5</f>
        <v>2008</v>
      </c>
      <c r="I212" s="70">
        <f>Loans!$I$5</f>
        <v>2009</v>
      </c>
      <c r="J212" s="15">
        <f>Loans!$J$5</f>
        <v>2010</v>
      </c>
      <c r="K212" s="15">
        <f>Loans!$K$5</f>
        <v>2011</v>
      </c>
      <c r="L212" s="15">
        <f>Loans!$L$5</f>
        <v>2012</v>
      </c>
      <c r="M212" s="15">
        <f>Loans!$M$5</f>
        <v>2013</v>
      </c>
      <c r="N212" s="15">
        <f>Loans!$N$5</f>
        <v>2014</v>
      </c>
      <c r="O212" s="47"/>
    </row>
    <row r="213" spans="2:15" ht="15">
      <c r="B213" s="92" t="s">
        <v>208</v>
      </c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47"/>
    </row>
    <row r="214" spans="2:15" ht="15">
      <c r="B214" s="4" t="s">
        <v>182</v>
      </c>
      <c r="C214" s="46"/>
      <c r="D214" s="46"/>
      <c r="E214" s="29">
        <f>E159</f>
        <v>8483</v>
      </c>
      <c r="F214" s="29">
        <f aca="true" t="shared" si="42" ref="F214:N214">F159</f>
        <v>14444</v>
      </c>
      <c r="G214" s="29">
        <f t="shared" si="42"/>
        <v>15365</v>
      </c>
      <c r="H214" s="29">
        <f t="shared" si="42"/>
        <v>5605</v>
      </c>
      <c r="I214" s="73">
        <f t="shared" si="42"/>
        <v>11728</v>
      </c>
      <c r="J214" s="29">
        <f t="shared" si="42"/>
        <v>16237.86971898719</v>
      </c>
      <c r="K214" s="29">
        <f t="shared" si="42"/>
        <v>19881.962739062423</v>
      </c>
      <c r="L214" s="29">
        <f t="shared" si="42"/>
        <v>22343.291804788583</v>
      </c>
      <c r="M214" s="29">
        <f t="shared" si="42"/>
        <v>24876.88237151309</v>
      </c>
      <c r="N214" s="29">
        <f t="shared" si="42"/>
        <v>26633.882333208883</v>
      </c>
      <c r="O214" s="47"/>
    </row>
    <row r="215" spans="2:15" ht="15">
      <c r="B215" s="4" t="s">
        <v>209</v>
      </c>
      <c r="C215" s="46"/>
      <c r="D215" s="46"/>
      <c r="E215" s="46"/>
      <c r="F215" s="46"/>
      <c r="G215" s="46"/>
      <c r="H215" s="46"/>
      <c r="I215" s="25"/>
      <c r="J215" s="46"/>
      <c r="K215" s="46"/>
      <c r="L215" s="46"/>
      <c r="M215" s="46"/>
      <c r="N215" s="46"/>
      <c r="O215" s="47"/>
    </row>
    <row r="216" spans="2:15" ht="15">
      <c r="B216" s="94" t="s">
        <v>166</v>
      </c>
      <c r="C216" s="46"/>
      <c r="D216" s="46"/>
      <c r="E216" s="79">
        <f>E141</f>
        <v>3483</v>
      </c>
      <c r="F216" s="79">
        <f aca="true" t="shared" si="43" ref="F216:N216">F141</f>
        <v>3270</v>
      </c>
      <c r="G216" s="79">
        <f t="shared" si="43"/>
        <v>6864</v>
      </c>
      <c r="H216" s="79">
        <f t="shared" si="43"/>
        <v>20979</v>
      </c>
      <c r="I216" s="80">
        <f t="shared" si="43"/>
        <v>32015</v>
      </c>
      <c r="J216" s="79">
        <f t="shared" si="43"/>
        <v>17314.504426876247</v>
      </c>
      <c r="K216" s="79">
        <f t="shared" si="43"/>
        <v>10363.045175440311</v>
      </c>
      <c r="L216" s="79">
        <f t="shared" si="43"/>
        <v>7276.270044018219</v>
      </c>
      <c r="M216" s="79">
        <f t="shared" si="43"/>
        <v>6087.481817515955</v>
      </c>
      <c r="N216" s="79">
        <f t="shared" si="43"/>
        <v>5541.024339352951</v>
      </c>
      <c r="O216" s="47"/>
    </row>
    <row r="217" spans="2:15" ht="15">
      <c r="B217" s="94" t="s">
        <v>210</v>
      </c>
      <c r="C217" s="46"/>
      <c r="D217" s="46"/>
      <c r="E217" s="17">
        <v>2828</v>
      </c>
      <c r="F217" s="17">
        <v>2149</v>
      </c>
      <c r="G217" s="17">
        <v>2427</v>
      </c>
      <c r="H217" s="17">
        <v>3143</v>
      </c>
      <c r="I217" s="23">
        <v>2783</v>
      </c>
      <c r="J217" s="79">
        <f>J139*J283</f>
        <v>3977.2597535385667</v>
      </c>
      <c r="K217" s="79">
        <f>K139*K283</f>
        <v>3798.1379585450873</v>
      </c>
      <c r="L217" s="79">
        <f>L139*L283</f>
        <v>3831.3975235994017</v>
      </c>
      <c r="M217" s="79">
        <f>M139*M283</f>
        <v>4056.2226158394956</v>
      </c>
      <c r="N217" s="79">
        <f>N139*N283</f>
        <v>4225.448455371539</v>
      </c>
      <c r="O217" s="47"/>
    </row>
    <row r="218" spans="2:15" ht="15">
      <c r="B218" s="94" t="s">
        <v>174</v>
      </c>
      <c r="C218" s="46"/>
      <c r="D218" s="46"/>
      <c r="E218" s="79">
        <f>E150</f>
        <v>1490</v>
      </c>
      <c r="F218" s="79">
        <f aca="true" t="shared" si="44" ref="F218:N218">F150</f>
        <v>1428</v>
      </c>
      <c r="G218" s="79">
        <f t="shared" si="44"/>
        <v>1394</v>
      </c>
      <c r="H218" s="79">
        <f t="shared" si="44"/>
        <v>1263</v>
      </c>
      <c r="I218" s="79">
        <f t="shared" si="44"/>
        <v>1050</v>
      </c>
      <c r="J218" s="79">
        <f t="shared" si="44"/>
        <v>913</v>
      </c>
      <c r="K218" s="79">
        <f t="shared" si="44"/>
        <v>793</v>
      </c>
      <c r="L218" s="79">
        <f t="shared" si="44"/>
        <v>710</v>
      </c>
      <c r="M218" s="79">
        <f t="shared" si="44"/>
        <v>621</v>
      </c>
      <c r="N218" s="79">
        <f t="shared" si="44"/>
        <v>420</v>
      </c>
      <c r="O218" s="47"/>
    </row>
    <row r="219" spans="2:15" ht="15">
      <c r="B219" s="94" t="s">
        <v>211</v>
      </c>
      <c r="C219" s="46"/>
      <c r="D219" s="46"/>
      <c r="E219" s="17">
        <v>-1791</v>
      </c>
      <c r="F219" s="17">
        <v>-1810</v>
      </c>
      <c r="G219" s="17">
        <v>1307</v>
      </c>
      <c r="H219" s="17">
        <v>-2637</v>
      </c>
      <c r="I219" s="23">
        <v>-3622</v>
      </c>
      <c r="J219" s="113">
        <v>0</v>
      </c>
      <c r="K219" s="79">
        <f>J219</f>
        <v>0</v>
      </c>
      <c r="L219" s="79">
        <f>K219</f>
        <v>0</v>
      </c>
      <c r="M219" s="79">
        <f>L219</f>
        <v>0</v>
      </c>
      <c r="N219" s="79">
        <f>M219</f>
        <v>0</v>
      </c>
      <c r="O219" s="47"/>
    </row>
    <row r="220" spans="2:15" ht="15">
      <c r="B220" s="94" t="s">
        <v>212</v>
      </c>
      <c r="C220" s="46"/>
      <c r="D220" s="46"/>
      <c r="E220" s="79">
        <f>-E127</f>
        <v>1336</v>
      </c>
      <c r="F220" s="79">
        <f aca="true" t="shared" si="45" ref="F220:N220">-F127</f>
        <v>543</v>
      </c>
      <c r="G220" s="79">
        <f t="shared" si="45"/>
        <v>-164</v>
      </c>
      <c r="H220" s="79">
        <f t="shared" si="45"/>
        <v>-1560</v>
      </c>
      <c r="I220" s="79">
        <f t="shared" si="45"/>
        <v>-1110</v>
      </c>
      <c r="J220" s="79">
        <f t="shared" si="45"/>
        <v>0</v>
      </c>
      <c r="K220" s="79">
        <f t="shared" si="45"/>
        <v>0</v>
      </c>
      <c r="L220" s="79">
        <f t="shared" si="45"/>
        <v>0</v>
      </c>
      <c r="M220" s="79">
        <f t="shared" si="45"/>
        <v>0</v>
      </c>
      <c r="N220" s="79">
        <f t="shared" si="45"/>
        <v>0</v>
      </c>
      <c r="O220" s="47"/>
    </row>
    <row r="221" spans="2:15" ht="15">
      <c r="B221" s="94" t="s">
        <v>213</v>
      </c>
      <c r="C221" s="46"/>
      <c r="D221" s="46"/>
      <c r="E221" s="17">
        <v>-1199</v>
      </c>
      <c r="F221" s="17">
        <v>-1540</v>
      </c>
      <c r="G221" s="17">
        <v>0</v>
      </c>
      <c r="H221" s="17">
        <v>-1540</v>
      </c>
      <c r="I221" s="23">
        <v>0</v>
      </c>
      <c r="J221" s="113">
        <v>0</v>
      </c>
      <c r="K221" s="79">
        <f>J221</f>
        <v>0</v>
      </c>
      <c r="L221" s="79">
        <f>K221</f>
        <v>0</v>
      </c>
      <c r="M221" s="79">
        <f>L221</f>
        <v>0</v>
      </c>
      <c r="N221" s="79">
        <f>M221</f>
        <v>0</v>
      </c>
      <c r="O221" s="47"/>
    </row>
    <row r="222" spans="2:15" ht="15">
      <c r="B222" s="94" t="s">
        <v>214</v>
      </c>
      <c r="C222" s="46"/>
      <c r="D222" s="46"/>
      <c r="E222" s="17">
        <v>1563</v>
      </c>
      <c r="F222" s="17">
        <v>2368</v>
      </c>
      <c r="G222" s="17">
        <v>2025</v>
      </c>
      <c r="H222" s="17">
        <v>2637</v>
      </c>
      <c r="I222" s="23">
        <v>3355</v>
      </c>
      <c r="J222" s="79">
        <f>J139*J285</f>
        <v>3420.726071557926</v>
      </c>
      <c r="K222" s="79">
        <f>K139*K285</f>
        <v>3266.668596791963</v>
      </c>
      <c r="L222" s="79">
        <f>L139*L285</f>
        <v>3295.274186660401</v>
      </c>
      <c r="M222" s="79">
        <f>M139*M285</f>
        <v>3488.6397454177513</v>
      </c>
      <c r="N222" s="79">
        <f>N139*N285</f>
        <v>3634.185995132398</v>
      </c>
      <c r="O222" s="47"/>
    </row>
    <row r="223" spans="2:15" ht="15">
      <c r="B223" s="96" t="s">
        <v>215</v>
      </c>
      <c r="C223" s="46"/>
      <c r="D223" s="46"/>
      <c r="E223" s="17">
        <v>-108611</v>
      </c>
      <c r="F223" s="17">
        <v>-178355</v>
      </c>
      <c r="G223" s="17">
        <v>-116471</v>
      </c>
      <c r="H223" s="17">
        <v>-34902</v>
      </c>
      <c r="I223" s="23">
        <v>-22417</v>
      </c>
      <c r="J223" s="79">
        <f>I12-J12</f>
        <v>0</v>
      </c>
      <c r="K223" s="79">
        <f>J12-K12</f>
        <v>18019.5</v>
      </c>
      <c r="L223" s="79">
        <f>K12-L12</f>
        <v>17118.525000000023</v>
      </c>
      <c r="M223" s="79">
        <f>L12-M12</f>
        <v>0</v>
      </c>
      <c r="N223" s="79">
        <f>M12-N12</f>
        <v>-16262.598750000005</v>
      </c>
      <c r="O223" s="47"/>
    </row>
    <row r="224" spans="2:15" ht="15">
      <c r="B224" s="4" t="s">
        <v>216</v>
      </c>
      <c r="C224" s="46"/>
      <c r="D224" s="46"/>
      <c r="E224" s="17">
        <v>102602</v>
      </c>
      <c r="F224" s="17">
        <v>170874</v>
      </c>
      <c r="G224" s="17">
        <v>107350</v>
      </c>
      <c r="H224" s="17">
        <v>38036</v>
      </c>
      <c r="I224" s="23">
        <v>33902</v>
      </c>
      <c r="J224" s="113">
        <v>0</v>
      </c>
      <c r="K224" s="79">
        <f>J224</f>
        <v>0</v>
      </c>
      <c r="L224" s="79">
        <f>K224</f>
        <v>0</v>
      </c>
      <c r="M224" s="79">
        <f>L224</f>
        <v>0</v>
      </c>
      <c r="N224" s="79">
        <f>M224</f>
        <v>0</v>
      </c>
      <c r="O224" s="47"/>
    </row>
    <row r="225" spans="2:15" ht="15">
      <c r="B225" s="4" t="s">
        <v>217</v>
      </c>
      <c r="C225" s="46"/>
      <c r="D225" s="46"/>
      <c r="E225" s="46"/>
      <c r="F225" s="46"/>
      <c r="G225" s="46"/>
      <c r="H225" s="46"/>
      <c r="I225" s="25"/>
      <c r="J225" s="46"/>
      <c r="K225" s="46"/>
      <c r="L225" s="46"/>
      <c r="M225" s="46"/>
      <c r="N225" s="46"/>
      <c r="O225" s="47"/>
    </row>
    <row r="226" spans="2:15" ht="15">
      <c r="B226" s="94" t="s">
        <v>83</v>
      </c>
      <c r="C226" s="46"/>
      <c r="D226" s="46"/>
      <c r="E226" s="113">
        <v>-3845</v>
      </c>
      <c r="F226" s="113">
        <v>-61664</v>
      </c>
      <c r="G226" s="113">
        <v>-121240</v>
      </c>
      <c r="H226" s="113">
        <v>-12787</v>
      </c>
      <c r="I226" s="133">
        <v>133488</v>
      </c>
      <c r="J226" s="79">
        <f>I11-J11</f>
        <v>41112.79999999999</v>
      </c>
      <c r="K226" s="79">
        <f>J11-K11</f>
        <v>18500.76000000001</v>
      </c>
      <c r="L226" s="79">
        <f>K11-L11</f>
        <v>0</v>
      </c>
      <c r="M226" s="79">
        <f>L11-M11</f>
        <v>-17575.72200000001</v>
      </c>
      <c r="N226" s="79">
        <f>M11-N11</f>
        <v>-36909.01620000001</v>
      </c>
      <c r="O226" s="47"/>
    </row>
    <row r="227" spans="2:15" ht="15">
      <c r="B227" s="94" t="s">
        <v>82</v>
      </c>
      <c r="C227" s="46"/>
      <c r="D227" s="46"/>
      <c r="E227" s="113">
        <v>-27290</v>
      </c>
      <c r="F227" s="113">
        <v>916</v>
      </c>
      <c r="G227" s="113">
        <v>-10496</v>
      </c>
      <c r="H227" s="113">
        <v>15408</v>
      </c>
      <c r="I227" s="133">
        <v>4452</v>
      </c>
      <c r="J227" s="79">
        <f>I10-J10</f>
        <v>-6506.499999999985</v>
      </c>
      <c r="K227" s="79">
        <f>J10-K10</f>
        <v>-10811.700000000026</v>
      </c>
      <c r="L227" s="79">
        <f>K10-L10</f>
        <v>-9415.188749999972</v>
      </c>
      <c r="M227" s="79">
        <f>L10-M10</f>
        <v>-16262.598750000005</v>
      </c>
      <c r="N227" s="79">
        <f>M10-N10</f>
        <v>-25207.02806250003</v>
      </c>
      <c r="O227" s="47"/>
    </row>
    <row r="228" spans="2:15" ht="15">
      <c r="B228" s="94" t="s">
        <v>218</v>
      </c>
      <c r="C228" s="46"/>
      <c r="D228" s="46"/>
      <c r="E228" s="113">
        <v>-1934</v>
      </c>
      <c r="F228" s="113">
        <v>-1170</v>
      </c>
      <c r="G228" s="113">
        <v>-1932</v>
      </c>
      <c r="H228" s="113">
        <v>10221</v>
      </c>
      <c r="I228" s="133">
        <v>-6312</v>
      </c>
      <c r="J228" s="79">
        <f>I17-J17</f>
        <v>97.29489150000154</v>
      </c>
      <c r="K228" s="79">
        <f>J17-K17</f>
        <v>3569.8976008662503</v>
      </c>
      <c r="L228" s="79">
        <f>K17-L17</f>
        <v>4014.8712545722374</v>
      </c>
      <c r="M228" s="79">
        <f>L17-M17</f>
        <v>5490.823667961107</v>
      </c>
      <c r="N228" s="79">
        <f>M17-N17</f>
        <v>5768.648983421575</v>
      </c>
      <c r="O228" s="47"/>
    </row>
    <row r="229" spans="2:15" ht="15">
      <c r="B229" s="94" t="s">
        <v>93</v>
      </c>
      <c r="C229" s="46"/>
      <c r="D229" s="46"/>
      <c r="E229" s="113">
        <v>-9</v>
      </c>
      <c r="F229" s="113">
        <v>-7208</v>
      </c>
      <c r="G229" s="113">
        <v>-21628</v>
      </c>
      <c r="H229" s="113">
        <v>-33629</v>
      </c>
      <c r="I229" s="133">
        <v>32182</v>
      </c>
      <c r="J229" s="79">
        <f>I22-J22</f>
        <v>-5354.550000000003</v>
      </c>
      <c r="K229" s="79">
        <f>J22-K22</f>
        <v>-5622.277500000011</v>
      </c>
      <c r="L229" s="79">
        <f>K22-L22</f>
        <v>-5903.3913750000065</v>
      </c>
      <c r="M229" s="79">
        <f>L22-M22</f>
        <v>-6198.56094375001</v>
      </c>
      <c r="N229" s="79">
        <f>M22-N22</f>
        <v>-6508.48899093752</v>
      </c>
      <c r="O229" s="47"/>
    </row>
    <row r="230" spans="2:15" ht="15">
      <c r="B230" s="94" t="s">
        <v>100</v>
      </c>
      <c r="C230" s="46"/>
      <c r="D230" s="46"/>
      <c r="E230" s="113">
        <v>-12578</v>
      </c>
      <c r="F230" s="113">
        <v>-4521</v>
      </c>
      <c r="G230" s="113">
        <v>12681</v>
      </c>
      <c r="H230" s="113">
        <v>24061</v>
      </c>
      <c r="I230" s="133">
        <v>-79314</v>
      </c>
      <c r="J230" s="79">
        <f aca="true" t="shared" si="46" ref="J230:N231">J29-I29</f>
        <v>-6666.135999999999</v>
      </c>
      <c r="K230" s="79">
        <f t="shared" si="46"/>
        <v>1110.0456000000122</v>
      </c>
      <c r="L230" s="79">
        <f t="shared" si="46"/>
        <v>7030.28879999998</v>
      </c>
      <c r="M230" s="79">
        <f t="shared" si="46"/>
        <v>13709.06316000002</v>
      </c>
      <c r="N230" s="79">
        <f t="shared" si="46"/>
        <v>22145.409719999996</v>
      </c>
      <c r="O230" s="47"/>
    </row>
    <row r="231" spans="2:15" ht="15">
      <c r="B231" s="94" t="s">
        <v>219</v>
      </c>
      <c r="C231" s="46"/>
      <c r="D231" s="46"/>
      <c r="E231" s="113">
        <v>5532</v>
      </c>
      <c r="F231" s="113">
        <v>7815</v>
      </c>
      <c r="G231" s="113">
        <v>4284</v>
      </c>
      <c r="H231" s="113">
        <v>1012</v>
      </c>
      <c r="I231" s="133">
        <v>-26450</v>
      </c>
      <c r="J231" s="79">
        <f t="shared" si="46"/>
        <v>-1104.7077396000095</v>
      </c>
      <c r="K231" s="79">
        <f t="shared" si="46"/>
        <v>-5733.98501951748</v>
      </c>
      <c r="L231" s="79">
        <f t="shared" si="46"/>
        <v>-6494.966608228744</v>
      </c>
      <c r="M231" s="79">
        <f t="shared" si="46"/>
        <v>-9851.765413824178</v>
      </c>
      <c r="N231" s="79">
        <f t="shared" si="46"/>
        <v>5945.815586206882</v>
      </c>
      <c r="O231" s="47"/>
    </row>
    <row r="232" spans="2:15" ht="15">
      <c r="B232" s="4" t="s">
        <v>220</v>
      </c>
      <c r="C232" s="46"/>
      <c r="D232" s="46"/>
      <c r="E232" s="113">
        <v>-296</v>
      </c>
      <c r="F232" s="113">
        <v>2882</v>
      </c>
      <c r="G232" s="113">
        <v>7674</v>
      </c>
      <c r="H232" s="113">
        <v>-12212</v>
      </c>
      <c r="I232" s="133">
        <v>6167</v>
      </c>
      <c r="J232" s="79">
        <f>I20-J20</f>
        <v>-741.7176</v>
      </c>
      <c r="K232" s="79">
        <f>J20-K20</f>
        <v>-1294.6972725000014</v>
      </c>
      <c r="L232" s="79">
        <f>K20-L20</f>
        <v>-1888.7842481250009</v>
      </c>
      <c r="M232" s="79">
        <f>L20-M20</f>
        <v>-2609.222182790625</v>
      </c>
      <c r="N232" s="79">
        <f>M20-N20</f>
        <v>-3086.9649076851565</v>
      </c>
      <c r="O232" s="47"/>
    </row>
    <row r="233" spans="2:15" ht="15">
      <c r="B233" s="92" t="s">
        <v>221</v>
      </c>
      <c r="C233" s="93"/>
      <c r="D233" s="93"/>
      <c r="E233" s="134">
        <f aca="true" t="shared" si="47" ref="E233:N233">SUM(E214:E232)</f>
        <v>-30236</v>
      </c>
      <c r="F233" s="134">
        <f t="shared" si="47"/>
        <v>-49579</v>
      </c>
      <c r="G233" s="134">
        <f t="shared" si="47"/>
        <v>-110560</v>
      </c>
      <c r="H233" s="134">
        <f t="shared" si="47"/>
        <v>23098</v>
      </c>
      <c r="I233" s="134">
        <f t="shared" si="47"/>
        <v>121897</v>
      </c>
      <c r="J233" s="134">
        <f t="shared" si="47"/>
        <v>62699.84352285991</v>
      </c>
      <c r="K233" s="134">
        <f t="shared" si="47"/>
        <v>55840.35787868853</v>
      </c>
      <c r="L233" s="134">
        <f t="shared" si="47"/>
        <v>41917.587632285125</v>
      </c>
      <c r="M233" s="134">
        <f t="shared" si="47"/>
        <v>5832.244087882595</v>
      </c>
      <c r="N233" s="134">
        <f t="shared" si="47"/>
        <v>-13659.681498428501</v>
      </c>
      <c r="O233" s="47"/>
    </row>
    <row r="234" spans="2:15" ht="15">
      <c r="B234" s="11"/>
      <c r="C234" s="46"/>
      <c r="D234" s="46"/>
      <c r="E234" s="46"/>
      <c r="F234" s="46"/>
      <c r="G234" s="113"/>
      <c r="H234" s="113"/>
      <c r="I234" s="133"/>
      <c r="J234" s="133"/>
      <c r="K234" s="46"/>
      <c r="L234" s="46"/>
      <c r="M234" s="46"/>
      <c r="N234" s="46"/>
      <c r="O234" s="47"/>
    </row>
    <row r="235" spans="2:15" ht="15">
      <c r="B235" s="92" t="s">
        <v>222</v>
      </c>
      <c r="C235" s="93"/>
      <c r="D235" s="93"/>
      <c r="E235" s="93"/>
      <c r="F235" s="93"/>
      <c r="G235" s="135"/>
      <c r="H235" s="135"/>
      <c r="I235" s="136"/>
      <c r="J235" s="93"/>
      <c r="K235" s="93"/>
      <c r="L235" s="93"/>
      <c r="M235" s="93"/>
      <c r="N235" s="93"/>
      <c r="O235" s="47"/>
    </row>
    <row r="236" spans="2:15" ht="15">
      <c r="B236" s="4" t="s">
        <v>217</v>
      </c>
      <c r="C236" s="46"/>
      <c r="D236" s="46"/>
      <c r="E236" s="46"/>
      <c r="F236" s="46"/>
      <c r="G236" s="113"/>
      <c r="H236" s="113"/>
      <c r="I236" s="133"/>
      <c r="J236" s="46"/>
      <c r="K236" s="46"/>
      <c r="L236" s="46"/>
      <c r="M236" s="46"/>
      <c r="N236" s="46"/>
      <c r="O236" s="47"/>
    </row>
    <row r="237" spans="2:15" ht="15">
      <c r="B237" s="94" t="s">
        <v>80</v>
      </c>
      <c r="C237" s="46"/>
      <c r="D237" s="46"/>
      <c r="E237" s="113">
        <v>104</v>
      </c>
      <c r="F237" s="113">
        <v>8168</v>
      </c>
      <c r="G237" s="113">
        <v>2081</v>
      </c>
      <c r="H237" s="113">
        <v>-118929</v>
      </c>
      <c r="I237" s="133">
        <v>74829</v>
      </c>
      <c r="J237" s="79">
        <f aca="true" t="shared" si="48" ref="J237:N238">I8-J8</f>
        <v>4089.042810101353</v>
      </c>
      <c r="K237" s="79">
        <f t="shared" si="48"/>
        <v>3211.30148144799</v>
      </c>
      <c r="L237" s="79">
        <f t="shared" si="48"/>
        <v>6142.208830899392</v>
      </c>
      <c r="M237" s="79">
        <f t="shared" si="48"/>
        <v>8450.980146046204</v>
      </c>
      <c r="N237" s="79">
        <f t="shared" si="48"/>
        <v>9012.824330385843</v>
      </c>
      <c r="O237" s="47"/>
    </row>
    <row r="238" spans="2:15" ht="15">
      <c r="B238" s="147" t="s">
        <v>251</v>
      </c>
      <c r="C238" s="46"/>
      <c r="D238" s="46"/>
      <c r="E238" s="113">
        <v>-32469</v>
      </c>
      <c r="F238" s="113">
        <v>-6939</v>
      </c>
      <c r="G238" s="113">
        <v>-29814</v>
      </c>
      <c r="H238" s="113">
        <v>-44597</v>
      </c>
      <c r="I238" s="133">
        <v>7082</v>
      </c>
      <c r="J238" s="79">
        <f t="shared" si="48"/>
        <v>0</v>
      </c>
      <c r="K238" s="79">
        <f t="shared" si="48"/>
        <v>-18166.72446518205</v>
      </c>
      <c r="L238" s="79">
        <f t="shared" si="48"/>
        <v>-44363.53604319552</v>
      </c>
      <c r="M238" s="79">
        <f t="shared" si="48"/>
        <v>0</v>
      </c>
      <c r="N238" s="79">
        <f t="shared" si="48"/>
        <v>0</v>
      </c>
      <c r="O238" s="47"/>
    </row>
    <row r="239" spans="2:15" ht="15">
      <c r="B239" s="4" t="s">
        <v>223</v>
      </c>
      <c r="C239" s="46"/>
      <c r="D239" s="46"/>
      <c r="E239" s="113"/>
      <c r="F239" s="113"/>
      <c r="G239" s="113"/>
      <c r="H239" s="113"/>
      <c r="I239" s="133"/>
      <c r="J239" s="46"/>
      <c r="K239" s="46"/>
      <c r="L239" s="46"/>
      <c r="M239" s="46"/>
      <c r="N239" s="46"/>
      <c r="O239" s="47"/>
    </row>
    <row r="240" spans="2:15" ht="15">
      <c r="B240" s="94" t="s">
        <v>224</v>
      </c>
      <c r="C240" s="46"/>
      <c r="D240" s="46"/>
      <c r="E240" s="113">
        <v>33</v>
      </c>
      <c r="F240" s="113">
        <v>19</v>
      </c>
      <c r="G240" s="113">
        <v>14</v>
      </c>
      <c r="H240" s="113">
        <v>10</v>
      </c>
      <c r="I240" s="133">
        <v>9</v>
      </c>
      <c r="J240" s="113">
        <v>0</v>
      </c>
      <c r="K240" s="79">
        <f>J240</f>
        <v>0</v>
      </c>
      <c r="L240" s="79">
        <f>K240</f>
        <v>0</v>
      </c>
      <c r="M240" s="79">
        <f>L240</f>
        <v>0</v>
      </c>
      <c r="N240" s="79">
        <f>M240</f>
        <v>0</v>
      </c>
      <c r="O240" s="47"/>
    </row>
    <row r="241" spans="2:15" ht="15">
      <c r="B241" s="4" t="s">
        <v>225</v>
      </c>
      <c r="C241" s="46"/>
      <c r="D241" s="46"/>
      <c r="E241" s="113"/>
      <c r="F241" s="113"/>
      <c r="G241" s="113"/>
      <c r="H241" s="113"/>
      <c r="I241" s="133"/>
      <c r="J241" s="46"/>
      <c r="K241" s="46"/>
      <c r="L241" s="46"/>
      <c r="M241" s="46"/>
      <c r="N241" s="46"/>
      <c r="O241" s="47"/>
    </row>
    <row r="242" spans="2:15" ht="15">
      <c r="B242" s="94" t="s">
        <v>226</v>
      </c>
      <c r="C242" s="46"/>
      <c r="D242" s="46"/>
      <c r="E242" s="113">
        <v>31053</v>
      </c>
      <c r="F242" s="113">
        <v>24909</v>
      </c>
      <c r="G242" s="113">
        <v>31143</v>
      </c>
      <c r="H242" s="113">
        <v>44414</v>
      </c>
      <c r="I242" s="133">
        <v>87712</v>
      </c>
      <c r="J242" s="113">
        <v>0</v>
      </c>
      <c r="K242" s="79">
        <f aca="true" t="shared" si="49" ref="K242:N243">J242</f>
        <v>0</v>
      </c>
      <c r="L242" s="79">
        <f t="shared" si="49"/>
        <v>0</v>
      </c>
      <c r="M242" s="79">
        <f t="shared" si="49"/>
        <v>0</v>
      </c>
      <c r="N242" s="79">
        <f t="shared" si="49"/>
        <v>0</v>
      </c>
      <c r="O242" s="47"/>
    </row>
    <row r="243" spans="2:15" ht="15">
      <c r="B243" s="94" t="s">
        <v>227</v>
      </c>
      <c r="C243" s="46"/>
      <c r="D243" s="46"/>
      <c r="E243" s="113">
        <v>82902</v>
      </c>
      <c r="F243" s="113">
        <v>123750</v>
      </c>
      <c r="G243" s="113">
        <v>98450</v>
      </c>
      <c r="H243" s="113">
        <v>96806</v>
      </c>
      <c r="I243" s="133">
        <v>114041</v>
      </c>
      <c r="J243" s="113">
        <v>0</v>
      </c>
      <c r="K243" s="79">
        <f t="shared" si="49"/>
        <v>0</v>
      </c>
      <c r="L243" s="79">
        <f t="shared" si="49"/>
        <v>0</v>
      </c>
      <c r="M243" s="79">
        <f t="shared" si="49"/>
        <v>0</v>
      </c>
      <c r="N243" s="79">
        <f t="shared" si="49"/>
        <v>0</v>
      </c>
      <c r="O243" s="47"/>
    </row>
    <row r="244" spans="2:15" ht="15">
      <c r="B244" s="94" t="s">
        <v>228</v>
      </c>
      <c r="C244" s="46"/>
      <c r="D244" s="46"/>
      <c r="E244" s="113">
        <v>-81749</v>
      </c>
      <c r="F244" s="113">
        <v>-201530</v>
      </c>
      <c r="G244" s="113">
        <v>-122507</v>
      </c>
      <c r="H244" s="113">
        <v>-248599</v>
      </c>
      <c r="I244" s="133">
        <v>-346372</v>
      </c>
      <c r="J244" s="79">
        <f>I14-J14-LLRs!J43</f>
        <v>-55901.14999999993</v>
      </c>
      <c r="K244" s="79">
        <f>J14-K14-LLRs!K43</f>
        <v>-50607.122500000085</v>
      </c>
      <c r="L244" s="79">
        <f>K14-L14-LLRs!L43</f>
        <v>-51869.9300937501</v>
      </c>
      <c r="M244" s="79">
        <f>L14-M14-LLRs!M43</f>
        <v>-39045.53644218735</v>
      </c>
      <c r="N244" s="79">
        <f>M14-N14-LLRs!N43</f>
        <v>-40882.66669242203</v>
      </c>
      <c r="O244" s="47"/>
    </row>
    <row r="245" spans="2:15" ht="15">
      <c r="B245" s="4" t="s">
        <v>229</v>
      </c>
      <c r="C245" s="46"/>
      <c r="D245" s="46"/>
      <c r="E245" s="113">
        <v>23861</v>
      </c>
      <c r="F245" s="113">
        <v>20809</v>
      </c>
      <c r="G245" s="113">
        <v>34925</v>
      </c>
      <c r="H245" s="113">
        <v>27531</v>
      </c>
      <c r="I245" s="133">
        <v>30434</v>
      </c>
      <c r="J245" s="113">
        <v>0</v>
      </c>
      <c r="K245" s="79">
        <f>J245</f>
        <v>0</v>
      </c>
      <c r="L245" s="79">
        <f>K245</f>
        <v>0</v>
      </c>
      <c r="M245" s="79">
        <f>L245</f>
        <v>0</v>
      </c>
      <c r="N245" s="79">
        <f>M245</f>
        <v>0</v>
      </c>
      <c r="O245" s="47"/>
    </row>
    <row r="246" spans="2:15" ht="15">
      <c r="B246" s="4" t="s">
        <v>230</v>
      </c>
      <c r="C246" s="46"/>
      <c r="D246" s="46"/>
      <c r="E246" s="113">
        <v>-40436</v>
      </c>
      <c r="F246" s="113">
        <v>-70837</v>
      </c>
      <c r="G246" s="113">
        <v>-83437</v>
      </c>
      <c r="H246" s="113">
        <v>-59123</v>
      </c>
      <c r="I246" s="133">
        <v>51251</v>
      </c>
      <c r="J246" s="113">
        <v>0</v>
      </c>
      <c r="K246" s="79">
        <f aca="true" t="shared" si="50" ref="K246:N249">J246</f>
        <v>0</v>
      </c>
      <c r="L246" s="79">
        <f t="shared" si="50"/>
        <v>0</v>
      </c>
      <c r="M246" s="79">
        <f t="shared" si="50"/>
        <v>0</v>
      </c>
      <c r="N246" s="79">
        <f t="shared" si="50"/>
        <v>0</v>
      </c>
      <c r="O246" s="47"/>
    </row>
    <row r="247" spans="2:15" ht="15">
      <c r="B247" s="4" t="s">
        <v>231</v>
      </c>
      <c r="C247" s="46"/>
      <c r="D247" s="46"/>
      <c r="E247" s="113">
        <v>-1039</v>
      </c>
      <c r="F247" s="113">
        <v>185</v>
      </c>
      <c r="G247" s="113">
        <v>-70</v>
      </c>
      <c r="H247" s="113">
        <v>2128</v>
      </c>
      <c r="I247" s="133">
        <v>-97</v>
      </c>
      <c r="J247" s="113">
        <v>0</v>
      </c>
      <c r="K247" s="79">
        <f t="shared" si="50"/>
        <v>0</v>
      </c>
      <c r="L247" s="79">
        <f t="shared" si="50"/>
        <v>0</v>
      </c>
      <c r="M247" s="79">
        <f t="shared" si="50"/>
        <v>0</v>
      </c>
      <c r="N247" s="79">
        <f t="shared" si="50"/>
        <v>0</v>
      </c>
      <c r="O247" s="47"/>
    </row>
    <row r="248" spans="2:15" ht="15">
      <c r="B248" s="4" t="s">
        <v>232</v>
      </c>
      <c r="C248" s="46"/>
      <c r="D248" s="46"/>
      <c r="E248" s="113">
        <v>4796</v>
      </c>
      <c r="F248" s="113">
        <v>1839</v>
      </c>
      <c r="G248" s="113">
        <v>0</v>
      </c>
      <c r="H248" s="113">
        <v>28850</v>
      </c>
      <c r="I248" s="133">
        <v>0</v>
      </c>
      <c r="J248" s="113">
        <v>0</v>
      </c>
      <c r="K248" s="79">
        <f t="shared" si="50"/>
        <v>0</v>
      </c>
      <c r="L248" s="79">
        <f t="shared" si="50"/>
        <v>0</v>
      </c>
      <c r="M248" s="79">
        <f t="shared" si="50"/>
        <v>0</v>
      </c>
      <c r="N248" s="79">
        <f t="shared" si="50"/>
        <v>0</v>
      </c>
      <c r="O248" s="47"/>
    </row>
    <row r="249" spans="2:15" ht="15">
      <c r="B249" s="4" t="s">
        <v>233</v>
      </c>
      <c r="C249" s="46"/>
      <c r="D249" s="46"/>
      <c r="E249" s="113">
        <v>0</v>
      </c>
      <c r="F249" s="113">
        <v>0</v>
      </c>
      <c r="G249" s="113">
        <v>0</v>
      </c>
      <c r="H249" s="113">
        <v>-11228</v>
      </c>
      <c r="I249" s="133">
        <v>11228</v>
      </c>
      <c r="J249" s="113">
        <v>0</v>
      </c>
      <c r="K249" s="79">
        <f t="shared" si="50"/>
        <v>0</v>
      </c>
      <c r="L249" s="79">
        <f t="shared" si="50"/>
        <v>0</v>
      </c>
      <c r="M249" s="79">
        <f t="shared" si="50"/>
        <v>0</v>
      </c>
      <c r="N249" s="79">
        <f t="shared" si="50"/>
        <v>0</v>
      </c>
      <c r="O249" s="47"/>
    </row>
    <row r="250" spans="2:15" ht="15">
      <c r="B250" s="96" t="s">
        <v>253</v>
      </c>
      <c r="C250" s="46"/>
      <c r="D250" s="46"/>
      <c r="E250" s="113">
        <v>0</v>
      </c>
      <c r="F250" s="113">
        <v>0</v>
      </c>
      <c r="G250" s="113">
        <v>-4973</v>
      </c>
      <c r="H250" s="113">
        <v>-934</v>
      </c>
      <c r="I250" s="133">
        <v>-762</v>
      </c>
      <c r="J250" s="79">
        <f>-J139*J284</f>
        <v>-3977.2597535385667</v>
      </c>
      <c r="K250" s="79">
        <f>-K139*K284</f>
        <v>-3798.1379585450873</v>
      </c>
      <c r="L250" s="79">
        <f>-L139*L284</f>
        <v>-3831.3975235994017</v>
      </c>
      <c r="M250" s="79">
        <f>-M139*M284</f>
        <v>-4056.2226158394956</v>
      </c>
      <c r="N250" s="79">
        <f>-N139*N284</f>
        <v>-4225.448455371539</v>
      </c>
      <c r="O250" s="47"/>
    </row>
    <row r="251" spans="2:15" ht="15">
      <c r="B251" s="92" t="s">
        <v>234</v>
      </c>
      <c r="C251" s="93"/>
      <c r="D251" s="93"/>
      <c r="E251" s="134">
        <f>SUM(E237:E250)</f>
        <v>-12944</v>
      </c>
      <c r="F251" s="134">
        <f aca="true" t="shared" si="51" ref="F251:K251">SUM(F237:F250)</f>
        <v>-99627</v>
      </c>
      <c r="G251" s="134">
        <f t="shared" si="51"/>
        <v>-74188</v>
      </c>
      <c r="H251" s="134">
        <f t="shared" si="51"/>
        <v>-283671</v>
      </c>
      <c r="I251" s="134">
        <f t="shared" si="51"/>
        <v>29355</v>
      </c>
      <c r="J251" s="134">
        <f t="shared" si="51"/>
        <v>-55789.36694343714</v>
      </c>
      <c r="K251" s="134">
        <f t="shared" si="51"/>
        <v>-69360.68344227923</v>
      </c>
      <c r="L251" s="134">
        <f>SUM(L237:L250)</f>
        <v>-93922.65482964563</v>
      </c>
      <c r="M251" s="134">
        <f>SUM(M237:M250)</f>
        <v>-34650.77891198065</v>
      </c>
      <c r="N251" s="134">
        <f>SUM(N237:N250)</f>
        <v>-36095.29081740773</v>
      </c>
      <c r="O251" s="47"/>
    </row>
    <row r="252" spans="2:15" ht="15">
      <c r="B252" s="11"/>
      <c r="C252" s="46"/>
      <c r="D252" s="46"/>
      <c r="E252" s="46"/>
      <c r="F252" s="46"/>
      <c r="G252" s="113"/>
      <c r="H252" s="113"/>
      <c r="I252" s="133"/>
      <c r="J252" s="46"/>
      <c r="K252" s="46"/>
      <c r="L252" s="46"/>
      <c r="M252" s="46"/>
      <c r="N252" s="46"/>
      <c r="O252" s="47"/>
    </row>
    <row r="253" spans="2:15" ht="15">
      <c r="B253" s="92" t="s">
        <v>235</v>
      </c>
      <c r="C253" s="93"/>
      <c r="D253" s="93"/>
      <c r="E253" s="93"/>
      <c r="F253" s="93"/>
      <c r="G253" s="135"/>
      <c r="H253" s="135"/>
      <c r="I253" s="136"/>
      <c r="J253" s="93"/>
      <c r="K253" s="93"/>
      <c r="L253" s="93"/>
      <c r="M253" s="93"/>
      <c r="N253" s="93"/>
      <c r="O253" s="47"/>
    </row>
    <row r="254" spans="2:15" ht="15">
      <c r="B254" s="4" t="s">
        <v>217</v>
      </c>
      <c r="C254" s="46"/>
      <c r="D254" s="46"/>
      <c r="E254" s="46"/>
      <c r="F254" s="46"/>
      <c r="G254" s="113"/>
      <c r="H254" s="113"/>
      <c r="I254" s="133"/>
      <c r="J254" s="46"/>
      <c r="K254" s="46"/>
      <c r="L254" s="46"/>
      <c r="M254" s="46"/>
      <c r="N254" s="46"/>
      <c r="O254" s="47"/>
    </row>
    <row r="255" spans="2:15" ht="15">
      <c r="B255" s="94" t="s">
        <v>96</v>
      </c>
      <c r="C255" s="46"/>
      <c r="D255" s="46"/>
      <c r="E255" s="113">
        <v>31415</v>
      </c>
      <c r="F255" s="113">
        <v>82105</v>
      </c>
      <c r="G255" s="113">
        <v>113512</v>
      </c>
      <c r="H255" s="113">
        <v>177331</v>
      </c>
      <c r="I255" s="133">
        <v>-107700</v>
      </c>
      <c r="J255" s="29">
        <f aca="true" t="shared" si="52" ref="J255:N256">J25-I25</f>
        <v>-28506.120155405486</v>
      </c>
      <c r="K255" s="29">
        <f t="shared" si="52"/>
        <v>22300.048629583092</v>
      </c>
      <c r="L255" s="29">
        <f t="shared" si="52"/>
        <v>63588.00907684758</v>
      </c>
      <c r="M255" s="29">
        <f t="shared" si="52"/>
        <v>37662.7307366014</v>
      </c>
      <c r="N255" s="29">
        <f t="shared" si="52"/>
        <v>44043.07841634739</v>
      </c>
      <c r="O255" s="47"/>
    </row>
    <row r="256" spans="2:15" ht="15">
      <c r="B256" s="147" t="s">
        <v>252</v>
      </c>
      <c r="C256" s="46"/>
      <c r="D256" s="46"/>
      <c r="E256" s="113">
        <v>-1862</v>
      </c>
      <c r="F256" s="113">
        <v>36248</v>
      </c>
      <c r="G256" s="113">
        <v>-7833</v>
      </c>
      <c r="H256" s="113">
        <v>15250</v>
      </c>
      <c r="I256" s="133">
        <v>67785</v>
      </c>
      <c r="J256" s="79">
        <f t="shared" si="52"/>
        <v>17319.17712999531</v>
      </c>
      <c r="K256" s="79">
        <f t="shared" si="52"/>
        <v>0</v>
      </c>
      <c r="L256" s="79">
        <f t="shared" si="52"/>
        <v>0</v>
      </c>
      <c r="M256" s="79">
        <f t="shared" si="52"/>
        <v>9347.680126071908</v>
      </c>
      <c r="N256" s="79">
        <f t="shared" si="52"/>
        <v>20598.222087364178</v>
      </c>
      <c r="O256" s="47"/>
    </row>
    <row r="257" spans="2:15" ht="15">
      <c r="B257" s="94" t="s">
        <v>236</v>
      </c>
      <c r="C257" s="46"/>
      <c r="D257" s="46"/>
      <c r="E257" s="113">
        <v>2618</v>
      </c>
      <c r="F257" s="113">
        <v>12657</v>
      </c>
      <c r="G257" s="113">
        <v>41412</v>
      </c>
      <c r="H257" s="113">
        <v>9186</v>
      </c>
      <c r="I257" s="133">
        <v>-76727</v>
      </c>
      <c r="J257" s="79">
        <f>SUM(J27:J28)-SUM(I27:I28)</f>
        <v>94.07240732498758</v>
      </c>
      <c r="K257" s="79">
        <f>SUM(K27:K28)-SUM(J27:J28)</f>
        <v>-5530.572674076233</v>
      </c>
      <c r="L257" s="79">
        <f>SUM(L27:L28)-SUM(K27:K28)</f>
        <v>-6214.153869472837</v>
      </c>
      <c r="M257" s="79">
        <f>SUM(M27:M28)-SUM(L27:L28)</f>
        <v>-8377.470742203921</v>
      </c>
      <c r="N257" s="79">
        <f>SUM(N27:N28)-SUM(M27:M28)</f>
        <v>-4777.679719053747</v>
      </c>
      <c r="O257" s="47"/>
    </row>
    <row r="258" spans="2:15" ht="15">
      <c r="B258" s="94" t="s">
        <v>102</v>
      </c>
      <c r="C258" s="46"/>
      <c r="D258" s="46"/>
      <c r="E258" s="113">
        <v>0</v>
      </c>
      <c r="F258" s="113">
        <v>0</v>
      </c>
      <c r="G258" s="113">
        <v>1070</v>
      </c>
      <c r="H258" s="113">
        <v>-2675</v>
      </c>
      <c r="I258" s="133">
        <v>-7275</v>
      </c>
      <c r="J258" s="79">
        <f>J31-I31</f>
        <v>0</v>
      </c>
      <c r="K258" s="79">
        <f>K31-J31</f>
        <v>0</v>
      </c>
      <c r="L258" s="79">
        <f>L31-K31</f>
        <v>0</v>
      </c>
      <c r="M258" s="79">
        <f>M31-L31</f>
        <v>0</v>
      </c>
      <c r="N258" s="79">
        <f>N31-M31</f>
        <v>0</v>
      </c>
      <c r="O258" s="47"/>
    </row>
    <row r="259" spans="2:15" ht="15">
      <c r="B259" s="4" t="s">
        <v>237</v>
      </c>
      <c r="C259" s="46"/>
      <c r="D259" s="46"/>
      <c r="E259" s="113">
        <v>43721</v>
      </c>
      <c r="F259" s="113">
        <v>56721</v>
      </c>
      <c r="G259" s="113">
        <v>95141</v>
      </c>
      <c r="H259" s="113">
        <v>72407</v>
      </c>
      <c r="I259" s="133">
        <v>51324</v>
      </c>
      <c r="J259" s="79">
        <f>SUM(J32:J33)-SUM(I32:I33)</f>
        <v>3000.820433999994</v>
      </c>
      <c r="K259" s="79">
        <f>SUM(K32:K33)-SUM(J32:J33)</f>
        <v>-110.7442906575161</v>
      </c>
      <c r="L259" s="79">
        <f>SUM(L32:L33)-SUM(K32:K33)</f>
        <v>-355.8630045657046</v>
      </c>
      <c r="M259" s="79">
        <f>SUM(M32:M33)-SUM(L32:L33)</f>
        <v>-5332.237725431973</v>
      </c>
      <c r="N259" s="79">
        <f>SUM(N32:N33)-SUM(M32:M33)</f>
        <v>-4930.836204391031</v>
      </c>
      <c r="O259" s="47"/>
    </row>
    <row r="260" spans="2:15" ht="15">
      <c r="B260" s="4" t="s">
        <v>238</v>
      </c>
      <c r="C260" s="46"/>
      <c r="D260" s="46"/>
      <c r="E260" s="113">
        <v>-26883</v>
      </c>
      <c r="F260" s="113">
        <v>-34267</v>
      </c>
      <c r="G260" s="113">
        <v>-49410</v>
      </c>
      <c r="H260" s="113">
        <v>-62691</v>
      </c>
      <c r="I260" s="133">
        <v>-55713</v>
      </c>
      <c r="J260" s="17">
        <v>0</v>
      </c>
      <c r="K260" s="79">
        <f>J260</f>
        <v>0</v>
      </c>
      <c r="L260" s="79">
        <f>K260</f>
        <v>0</v>
      </c>
      <c r="M260" s="79">
        <f>L260</f>
        <v>0</v>
      </c>
      <c r="N260" s="79">
        <f>M260</f>
        <v>0</v>
      </c>
      <c r="O260" s="47"/>
    </row>
    <row r="261" spans="2:15" ht="15">
      <c r="B261" s="4" t="s">
        <v>239</v>
      </c>
      <c r="C261" s="46"/>
      <c r="D261" s="46"/>
      <c r="E261" s="113">
        <v>682</v>
      </c>
      <c r="F261" s="113">
        <v>1659</v>
      </c>
      <c r="G261" s="113">
        <v>0</v>
      </c>
      <c r="H261" s="113">
        <v>11500</v>
      </c>
      <c r="I261" s="133">
        <v>5756</v>
      </c>
      <c r="J261" s="79">
        <f>J286</f>
        <v>3919.4</v>
      </c>
      <c r="K261" s="79">
        <f>K286</f>
        <v>3919.4</v>
      </c>
      <c r="L261" s="79">
        <f>L286</f>
        <v>3919.4</v>
      </c>
      <c r="M261" s="79">
        <f>M286</f>
        <v>3919.4</v>
      </c>
      <c r="N261" s="79">
        <f>N286</f>
        <v>3919.4</v>
      </c>
      <c r="O261" s="47"/>
    </row>
    <row r="262" spans="2:15" ht="15">
      <c r="B262" s="4" t="s">
        <v>240</v>
      </c>
      <c r="C262" s="46"/>
      <c r="D262" s="46"/>
      <c r="E262" s="113">
        <v>0</v>
      </c>
      <c r="F262" s="113">
        <v>302</v>
      </c>
      <c r="G262" s="113">
        <v>365</v>
      </c>
      <c r="H262" s="113">
        <v>148</v>
      </c>
      <c r="I262" s="133">
        <v>17</v>
      </c>
      <c r="J262" s="79">
        <v>0</v>
      </c>
      <c r="K262" s="79">
        <f aca="true" t="shared" si="53" ref="K262:N264">J262</f>
        <v>0</v>
      </c>
      <c r="L262" s="79">
        <f t="shared" si="53"/>
        <v>0</v>
      </c>
      <c r="M262" s="79">
        <f t="shared" si="53"/>
        <v>0</v>
      </c>
      <c r="N262" s="79">
        <f t="shared" si="53"/>
        <v>0</v>
      </c>
      <c r="O262" s="47"/>
    </row>
    <row r="263" spans="2:15" ht="15">
      <c r="B263" s="4" t="s">
        <v>241</v>
      </c>
      <c r="C263" s="46"/>
      <c r="D263" s="46"/>
      <c r="E263" s="113">
        <v>0</v>
      </c>
      <c r="F263" s="113">
        <v>0</v>
      </c>
      <c r="G263" s="113">
        <v>0</v>
      </c>
      <c r="H263" s="113">
        <v>25000</v>
      </c>
      <c r="I263" s="133">
        <v>0</v>
      </c>
      <c r="J263" s="79">
        <f>I263</f>
        <v>0</v>
      </c>
      <c r="K263" s="79">
        <f t="shared" si="53"/>
        <v>0</v>
      </c>
      <c r="L263" s="79">
        <f t="shared" si="53"/>
        <v>0</v>
      </c>
      <c r="M263" s="79">
        <f t="shared" si="53"/>
        <v>0</v>
      </c>
      <c r="N263" s="79">
        <f t="shared" si="53"/>
        <v>0</v>
      </c>
      <c r="O263" s="47"/>
    </row>
    <row r="264" spans="2:15" ht="15">
      <c r="B264" s="4" t="s">
        <v>107</v>
      </c>
      <c r="C264" s="46"/>
      <c r="D264" s="46"/>
      <c r="E264" s="113">
        <v>0</v>
      </c>
      <c r="F264" s="113">
        <v>0</v>
      </c>
      <c r="G264" s="113">
        <v>0</v>
      </c>
      <c r="H264" s="113">
        <v>7746</v>
      </c>
      <c r="I264" s="133">
        <v>0</v>
      </c>
      <c r="J264" s="17">
        <v>0</v>
      </c>
      <c r="K264" s="79">
        <f>J264</f>
        <v>0</v>
      </c>
      <c r="L264" s="79">
        <f t="shared" si="53"/>
        <v>0</v>
      </c>
      <c r="M264" s="79">
        <f t="shared" si="53"/>
        <v>0</v>
      </c>
      <c r="N264" s="79">
        <f t="shared" si="53"/>
        <v>0</v>
      </c>
      <c r="O264" s="47"/>
    </row>
    <row r="265" spans="2:15" ht="15">
      <c r="B265" s="4" t="s">
        <v>242</v>
      </c>
      <c r="C265" s="46"/>
      <c r="D265" s="46"/>
      <c r="E265" s="113">
        <v>-200</v>
      </c>
      <c r="F265" s="113">
        <v>-139</v>
      </c>
      <c r="G265" s="113">
        <v>0</v>
      </c>
      <c r="H265" s="113">
        <v>0</v>
      </c>
      <c r="I265" s="133">
        <v>-25000</v>
      </c>
      <c r="J265" s="17">
        <v>0</v>
      </c>
      <c r="K265" s="79">
        <f>J265</f>
        <v>0</v>
      </c>
      <c r="L265" s="79">
        <f>K265</f>
        <v>0</v>
      </c>
      <c r="M265" s="79">
        <f>L265</f>
        <v>0</v>
      </c>
      <c r="N265" s="79">
        <f>M265</f>
        <v>0</v>
      </c>
      <c r="O265" s="47"/>
    </row>
    <row r="266" spans="2:15" ht="15">
      <c r="B266" s="4" t="s">
        <v>243</v>
      </c>
      <c r="C266" s="46"/>
      <c r="D266" s="46"/>
      <c r="E266" s="113">
        <v>-3412</v>
      </c>
      <c r="F266" s="113">
        <v>-3938</v>
      </c>
      <c r="G266" s="113">
        <v>-8178</v>
      </c>
      <c r="H266" s="113">
        <v>0</v>
      </c>
      <c r="I266" s="133">
        <v>0</v>
      </c>
      <c r="J266" s="79"/>
      <c r="K266" s="79"/>
      <c r="L266" s="79"/>
      <c r="M266" s="79"/>
      <c r="N266" s="79"/>
      <c r="O266" s="47"/>
    </row>
    <row r="267" spans="2:15" ht="15">
      <c r="B267" s="4" t="s">
        <v>244</v>
      </c>
      <c r="C267" s="46"/>
      <c r="D267" s="46"/>
      <c r="E267" s="113">
        <v>-4878</v>
      </c>
      <c r="F267" s="113">
        <v>-4846</v>
      </c>
      <c r="G267" s="113">
        <v>-5051</v>
      </c>
      <c r="H267" s="113">
        <v>-5911</v>
      </c>
      <c r="I267" s="133">
        <v>-3422</v>
      </c>
      <c r="J267" s="79">
        <f>-SUM(J160:J162)</f>
        <v>-1648</v>
      </c>
      <c r="K267" s="79">
        <f>-SUM(K160:K162)</f>
        <v>-1728</v>
      </c>
      <c r="L267" s="79">
        <f>-SUM(L160:L162)</f>
        <v>-1728</v>
      </c>
      <c r="M267" s="79">
        <f>-SUM(M160:M162)</f>
        <v>-1728</v>
      </c>
      <c r="N267" s="79">
        <f>-SUM(N160:N162)</f>
        <v>-1728</v>
      </c>
      <c r="O267" s="47"/>
    </row>
    <row r="268" spans="2:15" ht="15">
      <c r="B268" s="4" t="s">
        <v>245</v>
      </c>
      <c r="C268" s="46"/>
      <c r="D268" s="46"/>
      <c r="E268" s="113">
        <v>3868</v>
      </c>
      <c r="F268" s="113">
        <v>6247</v>
      </c>
      <c r="G268" s="113">
        <v>3028</v>
      </c>
      <c r="H268" s="113">
        <v>540</v>
      </c>
      <c r="I268" s="133">
        <v>-1224</v>
      </c>
      <c r="J268" s="17">
        <v>0</v>
      </c>
      <c r="K268" s="79">
        <f>J268</f>
        <v>0</v>
      </c>
      <c r="L268" s="79">
        <f>K268</f>
        <v>0</v>
      </c>
      <c r="M268" s="79">
        <f>L268</f>
        <v>0</v>
      </c>
      <c r="N268" s="79">
        <f>M268</f>
        <v>0</v>
      </c>
      <c r="O268" s="47"/>
    </row>
    <row r="269" spans="2:15" ht="15">
      <c r="B269" s="92" t="s">
        <v>246</v>
      </c>
      <c r="C269" s="93"/>
      <c r="D269" s="93"/>
      <c r="E269" s="137">
        <f aca="true" t="shared" si="54" ref="E269:N269">SUM(E255:E268)</f>
        <v>45069</v>
      </c>
      <c r="F269" s="137">
        <f t="shared" si="54"/>
        <v>152749</v>
      </c>
      <c r="G269" s="137">
        <f t="shared" si="54"/>
        <v>184056</v>
      </c>
      <c r="H269" s="137">
        <f t="shared" si="54"/>
        <v>247831</v>
      </c>
      <c r="I269" s="137">
        <f t="shared" si="54"/>
        <v>-152179</v>
      </c>
      <c r="J269" s="137">
        <f t="shared" si="54"/>
        <v>-5820.650184085194</v>
      </c>
      <c r="K269" s="137">
        <f t="shared" si="54"/>
        <v>18850.131664849345</v>
      </c>
      <c r="L269" s="137">
        <f t="shared" si="54"/>
        <v>59209.39220280904</v>
      </c>
      <c r="M269" s="137">
        <f t="shared" si="54"/>
        <v>35492.102395037415</v>
      </c>
      <c r="N269" s="137">
        <f t="shared" si="54"/>
        <v>57124.18458026679</v>
      </c>
      <c r="O269" s="47"/>
    </row>
    <row r="270" spans="2:15" ht="15">
      <c r="B270" s="11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7"/>
    </row>
    <row r="271" spans="2:15" ht="15">
      <c r="B271" s="11" t="s">
        <v>247</v>
      </c>
      <c r="C271" s="46"/>
      <c r="D271" s="46"/>
      <c r="E271" s="113">
        <v>-387</v>
      </c>
      <c r="F271" s="113">
        <v>199</v>
      </c>
      <c r="G271" s="113">
        <v>424</v>
      </c>
      <c r="H271" s="113">
        <v>-507</v>
      </c>
      <c r="I271" s="133">
        <v>238</v>
      </c>
      <c r="J271" s="113">
        <v>0</v>
      </c>
      <c r="K271" s="79">
        <f>J271</f>
        <v>0</v>
      </c>
      <c r="L271" s="79">
        <f>K271</f>
        <v>0</v>
      </c>
      <c r="M271" s="79">
        <f>L271</f>
        <v>0</v>
      </c>
      <c r="N271" s="79">
        <f>M271</f>
        <v>0</v>
      </c>
      <c r="O271" s="47"/>
    </row>
    <row r="272" spans="2:15" ht="15">
      <c r="B272" s="2" t="s">
        <v>248</v>
      </c>
      <c r="C272" s="46"/>
      <c r="D272" s="46"/>
      <c r="E272" s="73">
        <f>E271+E269+E251+E233</f>
        <v>1502</v>
      </c>
      <c r="F272" s="73">
        <f aca="true" t="shared" si="55" ref="F272:N272">F271+F269+F251+F233</f>
        <v>3742</v>
      </c>
      <c r="G272" s="73">
        <f t="shared" si="55"/>
        <v>-268</v>
      </c>
      <c r="H272" s="73">
        <f t="shared" si="55"/>
        <v>-13249</v>
      </c>
      <c r="I272" s="73">
        <f t="shared" si="55"/>
        <v>-689</v>
      </c>
      <c r="J272" s="73">
        <f t="shared" si="55"/>
        <v>1089.826395337579</v>
      </c>
      <c r="K272" s="73">
        <f t="shared" si="55"/>
        <v>5329.80610125864</v>
      </c>
      <c r="L272" s="73">
        <f t="shared" si="55"/>
        <v>7204.3250054485325</v>
      </c>
      <c r="M272" s="73">
        <f t="shared" si="55"/>
        <v>6673.567570939362</v>
      </c>
      <c r="N272" s="73">
        <f t="shared" si="55"/>
        <v>7369.212264430556</v>
      </c>
      <c r="O272" s="47"/>
    </row>
    <row r="273" spans="2:15" ht="15">
      <c r="B273" s="11"/>
      <c r="C273" s="46"/>
      <c r="D273" s="46"/>
      <c r="E273" s="46"/>
      <c r="F273" s="46"/>
      <c r="G273" s="46"/>
      <c r="H273" s="46"/>
      <c r="I273" s="46"/>
      <c r="J273" s="29"/>
      <c r="K273" s="29"/>
      <c r="L273" s="29"/>
      <c r="M273" s="29"/>
      <c r="N273" s="29"/>
      <c r="O273" s="47"/>
    </row>
    <row r="274" spans="2:15" ht="15">
      <c r="B274" s="1" t="s">
        <v>262</v>
      </c>
      <c r="C274" s="46"/>
      <c r="D274" s="46"/>
      <c r="E274" s="79">
        <f>E7</f>
        <v>36670</v>
      </c>
      <c r="F274" s="79">
        <f aca="true" t="shared" si="56" ref="F274:N274">F7</f>
        <v>40412</v>
      </c>
      <c r="G274" s="79">
        <f t="shared" si="56"/>
        <v>40144</v>
      </c>
      <c r="H274" s="79">
        <f t="shared" si="56"/>
        <v>26895</v>
      </c>
      <c r="I274" s="79">
        <f t="shared" si="56"/>
        <v>26206</v>
      </c>
      <c r="J274" s="79">
        <f t="shared" si="56"/>
        <v>27295.826395337834</v>
      </c>
      <c r="K274" s="79">
        <f t="shared" si="56"/>
        <v>32625.63249659622</v>
      </c>
      <c r="L274" s="79">
        <f t="shared" si="56"/>
        <v>39829.957502041005</v>
      </c>
      <c r="M274" s="79">
        <f t="shared" si="56"/>
        <v>46503.525072943194</v>
      </c>
      <c r="N274" s="79">
        <f t="shared" si="56"/>
        <v>53872.737335198704</v>
      </c>
      <c r="O274" s="47"/>
    </row>
    <row r="275" spans="2:15" ht="15">
      <c r="B275" s="11" t="s">
        <v>249</v>
      </c>
      <c r="C275" s="46"/>
      <c r="D275" s="46"/>
      <c r="E275" s="113">
        <v>35168</v>
      </c>
      <c r="F275" s="138">
        <f>E276</f>
        <v>36670</v>
      </c>
      <c r="G275" s="138">
        <f aca="true" t="shared" si="57" ref="G275:N275">F276</f>
        <v>40412</v>
      </c>
      <c r="H275" s="138">
        <f t="shared" si="57"/>
        <v>40144</v>
      </c>
      <c r="I275" s="138">
        <f t="shared" si="57"/>
        <v>26895</v>
      </c>
      <c r="J275" s="138">
        <f t="shared" si="57"/>
        <v>26206</v>
      </c>
      <c r="K275" s="138">
        <f t="shared" si="57"/>
        <v>27295.82639533758</v>
      </c>
      <c r="L275" s="138">
        <f t="shared" si="57"/>
        <v>32625.632496595754</v>
      </c>
      <c r="M275" s="138">
        <f t="shared" si="57"/>
        <v>39829.9575020332</v>
      </c>
      <c r="N275" s="138">
        <f t="shared" si="57"/>
        <v>46503.52507239518</v>
      </c>
      <c r="O275" s="47"/>
    </row>
    <row r="276" spans="2:15" ht="15">
      <c r="B276" s="3" t="s">
        <v>250</v>
      </c>
      <c r="C276" s="48"/>
      <c r="D276" s="48"/>
      <c r="E276" s="139">
        <f>E275+E272</f>
        <v>36670</v>
      </c>
      <c r="F276" s="139">
        <f>F275+F272</f>
        <v>40412</v>
      </c>
      <c r="G276" s="139">
        <f aca="true" t="shared" si="58" ref="G276:N276">G275+G272</f>
        <v>40144</v>
      </c>
      <c r="H276" s="139">
        <f t="shared" si="58"/>
        <v>26895</v>
      </c>
      <c r="I276" s="139">
        <f t="shared" si="58"/>
        <v>26206</v>
      </c>
      <c r="J276" s="139">
        <f t="shared" si="58"/>
        <v>27295.82639533758</v>
      </c>
      <c r="K276" s="139">
        <f t="shared" si="58"/>
        <v>32625.63249659622</v>
      </c>
      <c r="L276" s="139">
        <f t="shared" si="58"/>
        <v>39829.957502044286</v>
      </c>
      <c r="M276" s="139">
        <f t="shared" si="58"/>
        <v>46503.52507297256</v>
      </c>
      <c r="N276" s="139">
        <f t="shared" si="58"/>
        <v>53872.73733682574</v>
      </c>
      <c r="O276" s="49"/>
    </row>
    <row r="277" spans="2:15" ht="1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</row>
    <row r="278" spans="2:15" ht="15">
      <c r="B278" s="42" t="str">
        <f>Company_Name&amp;" - Cash Flow Statement Drivers"</f>
        <v>JPMorgan Chase &amp; Co. - Cash Flow Statement Drivers</v>
      </c>
      <c r="C278" s="50"/>
      <c r="D278" s="50"/>
      <c r="E278" s="50"/>
      <c r="F278" s="50"/>
      <c r="G278" s="51"/>
      <c r="H278" s="51"/>
      <c r="I278" s="51"/>
      <c r="J278" s="51"/>
      <c r="K278" s="51"/>
      <c r="L278" s="51"/>
      <c r="M278" s="51"/>
      <c r="N278" s="51"/>
      <c r="O278" s="52"/>
    </row>
    <row r="279" spans="2:15" ht="15">
      <c r="B279" s="11" t="str">
        <f>Loans!$B$3</f>
        <v>($ in Millions)</v>
      </c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7"/>
    </row>
    <row r="280" spans="2:15" ht="15">
      <c r="B280" s="11"/>
      <c r="C280" s="46"/>
      <c r="D280" s="46"/>
      <c r="E280" s="13" t="str">
        <f>LLRs!$E$4</f>
        <v>Historical</v>
      </c>
      <c r="F280" s="13"/>
      <c r="G280" s="13"/>
      <c r="H280" s="13"/>
      <c r="I280" s="13"/>
      <c r="J280" s="12" t="str">
        <f>LLRs!$J$4</f>
        <v>Projected</v>
      </c>
      <c r="K280" s="12"/>
      <c r="L280" s="12"/>
      <c r="M280" s="12"/>
      <c r="N280" s="12"/>
      <c r="O280" s="47"/>
    </row>
    <row r="281" spans="2:15" ht="15">
      <c r="B281" s="14" t="str">
        <f>Loans!$B$5</f>
        <v>December 31, </v>
      </c>
      <c r="C281" s="48"/>
      <c r="D281" s="48"/>
      <c r="E281" s="69">
        <f>Loans!$E$5</f>
        <v>2005</v>
      </c>
      <c r="F281" s="69">
        <f>Loans!$F$5</f>
        <v>2006</v>
      </c>
      <c r="G281" s="69">
        <f>Loans!$G$5</f>
        <v>2007</v>
      </c>
      <c r="H281" s="69">
        <f>Loans!$H$5</f>
        <v>2008</v>
      </c>
      <c r="I281" s="70">
        <f>Loans!$I$5</f>
        <v>2009</v>
      </c>
      <c r="J281" s="15">
        <f>Loans!$J$5</f>
        <v>2010</v>
      </c>
      <c r="K281" s="15">
        <f>Loans!$K$5</f>
        <v>2011</v>
      </c>
      <c r="L281" s="15">
        <f>Loans!$L$5</f>
        <v>2012</v>
      </c>
      <c r="M281" s="15">
        <f>Loans!$M$5</f>
        <v>2013</v>
      </c>
      <c r="N281" s="15">
        <f>Loans!$N$5</f>
        <v>2014</v>
      </c>
      <c r="O281" s="47"/>
    </row>
    <row r="282" spans="2:15" ht="15">
      <c r="B282" s="140"/>
      <c r="C282" s="93"/>
      <c r="D282" s="93"/>
      <c r="E282" s="93"/>
      <c r="F282" s="93"/>
      <c r="G282" s="93"/>
      <c r="H282" s="93"/>
      <c r="I282" s="93"/>
      <c r="J282" s="141"/>
      <c r="K282" s="93"/>
      <c r="L282" s="93"/>
      <c r="M282" s="93"/>
      <c r="N282" s="93"/>
      <c r="O282" s="47"/>
    </row>
    <row r="283" spans="2:15" ht="15">
      <c r="B283" s="4" t="s">
        <v>254</v>
      </c>
      <c r="C283" s="46"/>
      <c r="D283" s="46"/>
      <c r="E283" s="142">
        <f>E217/E139</f>
        <v>0.05261591128972241</v>
      </c>
      <c r="F283" s="142">
        <f>F217/F139</f>
        <v>0.03497892149681788</v>
      </c>
      <c r="G283" s="142">
        <f>G217/G139</f>
        <v>0.03400493190606961</v>
      </c>
      <c r="H283" s="142">
        <f>H217/H139</f>
        <v>0.04673466960090406</v>
      </c>
      <c r="I283" s="143">
        <f>I217/I139</f>
        <v>0.027709739729573652</v>
      </c>
      <c r="J283" s="39">
        <f>AVERAGE(E283:I283)</f>
        <v>0.03920883480461752</v>
      </c>
      <c r="K283" s="39">
        <f>J283</f>
        <v>0.03920883480461752</v>
      </c>
      <c r="L283" s="39">
        <f>K283</f>
        <v>0.03920883480461752</v>
      </c>
      <c r="M283" s="39">
        <f>L283</f>
        <v>0.03920883480461752</v>
      </c>
      <c r="N283" s="39">
        <f>M283</f>
        <v>0.03920883480461752</v>
      </c>
      <c r="O283" s="47"/>
    </row>
    <row r="284" spans="2:15" ht="15">
      <c r="B284" s="4" t="s">
        <v>255</v>
      </c>
      <c r="C284" s="46"/>
      <c r="D284" s="46"/>
      <c r="E284" s="144" t="s">
        <v>77</v>
      </c>
      <c r="F284" s="144" t="s">
        <v>77</v>
      </c>
      <c r="G284" s="144" t="s">
        <v>77</v>
      </c>
      <c r="H284" s="144" t="s">
        <v>77</v>
      </c>
      <c r="I284" s="145" t="s">
        <v>77</v>
      </c>
      <c r="J284" s="39">
        <f>J283</f>
        <v>0.03920883480461752</v>
      </c>
      <c r="K284" s="39">
        <f>K283</f>
        <v>0.03920883480461752</v>
      </c>
      <c r="L284" s="39">
        <f>L283</f>
        <v>0.03920883480461752</v>
      </c>
      <c r="M284" s="39">
        <f>M283</f>
        <v>0.03920883480461752</v>
      </c>
      <c r="N284" s="39">
        <f>N283</f>
        <v>0.03920883480461752</v>
      </c>
      <c r="O284" s="47"/>
    </row>
    <row r="285" spans="2:15" ht="15">
      <c r="B285" s="4" t="s">
        <v>256</v>
      </c>
      <c r="C285" s="46"/>
      <c r="D285" s="46"/>
      <c r="E285" s="142">
        <f>E222/E139</f>
        <v>0.02908015181960259</v>
      </c>
      <c r="F285" s="142">
        <f>F222/F139</f>
        <v>0.038543548675879356</v>
      </c>
      <c r="G285" s="142">
        <f>G222/G139</f>
        <v>0.028372470997029647</v>
      </c>
      <c r="H285" s="142">
        <f>H222/H139</f>
        <v>0.03921072979242253</v>
      </c>
      <c r="I285" s="143">
        <f>I222/I139</f>
        <v>0.03340502220363622</v>
      </c>
      <c r="J285" s="39">
        <f>AVERAGE(E285:I285)</f>
        <v>0.03372238469771407</v>
      </c>
      <c r="K285" s="39">
        <f aca="true" t="shared" si="59" ref="K285:N286">J285</f>
        <v>0.03372238469771407</v>
      </c>
      <c r="L285" s="39">
        <f t="shared" si="59"/>
        <v>0.03372238469771407</v>
      </c>
      <c r="M285" s="39">
        <f t="shared" si="59"/>
        <v>0.03372238469771407</v>
      </c>
      <c r="N285" s="39">
        <f t="shared" si="59"/>
        <v>0.03372238469771407</v>
      </c>
      <c r="O285" s="47"/>
    </row>
    <row r="286" spans="2:15" ht="15">
      <c r="B286" s="146" t="s">
        <v>257</v>
      </c>
      <c r="C286" s="48"/>
      <c r="D286" s="48"/>
      <c r="E286" s="100">
        <v>682</v>
      </c>
      <c r="F286" s="100">
        <v>1659</v>
      </c>
      <c r="G286" s="100">
        <v>0</v>
      </c>
      <c r="H286" s="100">
        <v>11500</v>
      </c>
      <c r="I286" s="101">
        <v>5756</v>
      </c>
      <c r="J286" s="100">
        <f>AVERAGE(E286:I286)</f>
        <v>3919.4</v>
      </c>
      <c r="K286" s="100">
        <f t="shared" si="59"/>
        <v>3919.4</v>
      </c>
      <c r="L286" s="100">
        <f t="shared" si="59"/>
        <v>3919.4</v>
      </c>
      <c r="M286" s="100">
        <f t="shared" si="59"/>
        <v>3919.4</v>
      </c>
      <c r="N286" s="100">
        <f t="shared" si="59"/>
        <v>3919.4</v>
      </c>
      <c r="O286" s="49"/>
    </row>
    <row r="288" spans="2:15" ht="15">
      <c r="B288" s="42" t="str">
        <f>Company_Name&amp;" - Dividends and Stock Repurchases / Issuances"</f>
        <v>JPMorgan Chase &amp; Co. - Dividends and Stock Repurchases / Issuances</v>
      </c>
      <c r="C288" s="50"/>
      <c r="D288" s="50"/>
      <c r="E288" s="50"/>
      <c r="F288" s="50"/>
      <c r="G288" s="51"/>
      <c r="H288" s="51"/>
      <c r="I288" s="51"/>
      <c r="J288" s="51"/>
      <c r="K288" s="51"/>
      <c r="L288" s="51"/>
      <c r="M288" s="51"/>
      <c r="N288" s="51"/>
      <c r="O288" s="52"/>
    </row>
    <row r="289" spans="2:15" ht="15">
      <c r="B289" s="11" t="str">
        <f>Loans!$B$3</f>
        <v>($ in Millions)</v>
      </c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7"/>
    </row>
    <row r="290" spans="2:15" ht="15">
      <c r="B290" s="11"/>
      <c r="C290" s="46"/>
      <c r="D290" s="46"/>
      <c r="E290" s="13" t="str">
        <f>LLRs!$E$4</f>
        <v>Historical</v>
      </c>
      <c r="F290" s="13"/>
      <c r="G290" s="13"/>
      <c r="H290" s="13"/>
      <c r="I290" s="13"/>
      <c r="J290" s="12" t="str">
        <f>LLRs!$J$4</f>
        <v>Projected</v>
      </c>
      <c r="K290" s="12"/>
      <c r="L290" s="12"/>
      <c r="M290" s="12"/>
      <c r="N290" s="12"/>
      <c r="O290" s="47"/>
    </row>
    <row r="291" spans="2:15" ht="15">
      <c r="B291" s="14" t="str">
        <f>Loans!$B$5</f>
        <v>December 31, </v>
      </c>
      <c r="C291" s="48"/>
      <c r="D291" s="48"/>
      <c r="E291" s="69">
        <f>Loans!$E$5</f>
        <v>2005</v>
      </c>
      <c r="F291" s="69">
        <f>Loans!$F$5</f>
        <v>2006</v>
      </c>
      <c r="G291" s="69">
        <f>Loans!$G$5</f>
        <v>2007</v>
      </c>
      <c r="H291" s="69">
        <f>Loans!$H$5</f>
        <v>2008</v>
      </c>
      <c r="I291" s="70">
        <f>Loans!$I$5</f>
        <v>2009</v>
      </c>
      <c r="J291" s="15">
        <f>Loans!$J$5</f>
        <v>2010</v>
      </c>
      <c r="K291" s="15">
        <f>Loans!$K$5</f>
        <v>2011</v>
      </c>
      <c r="L291" s="15">
        <f>Loans!$L$5</f>
        <v>2012</v>
      </c>
      <c r="M291" s="15">
        <f>Loans!$M$5</f>
        <v>2013</v>
      </c>
      <c r="N291" s="15">
        <f>Loans!$N$5</f>
        <v>2014</v>
      </c>
      <c r="O291" s="47"/>
    </row>
    <row r="292" spans="2:15" ht="15">
      <c r="B292" s="11"/>
      <c r="C292" s="46"/>
      <c r="D292" s="46"/>
      <c r="E292" s="46"/>
      <c r="F292" s="46"/>
      <c r="G292" s="46"/>
      <c r="H292" s="46"/>
      <c r="I292" s="25"/>
      <c r="J292" s="46"/>
      <c r="K292" s="46"/>
      <c r="L292" s="46"/>
      <c r="M292" s="46"/>
      <c r="N292" s="46"/>
      <c r="O292" s="47"/>
    </row>
    <row r="293" spans="2:15" ht="15">
      <c r="B293" s="1" t="s">
        <v>295</v>
      </c>
      <c r="C293" s="46"/>
      <c r="D293" s="46"/>
      <c r="E293" s="46"/>
      <c r="F293" s="46"/>
      <c r="G293" s="46"/>
      <c r="H293" s="46"/>
      <c r="I293" s="25"/>
      <c r="J293" s="29"/>
      <c r="K293" s="29"/>
      <c r="L293" s="29"/>
      <c r="M293" s="29"/>
      <c r="N293" s="29"/>
      <c r="O293" s="47"/>
    </row>
    <row r="294" spans="2:15" ht="15">
      <c r="B294" s="1" t="s">
        <v>284</v>
      </c>
      <c r="C294" s="46"/>
      <c r="D294" s="46"/>
      <c r="E294" s="46"/>
      <c r="F294" s="46"/>
      <c r="G294" s="46"/>
      <c r="H294" s="46"/>
      <c r="I294" s="25"/>
      <c r="J294" s="83"/>
      <c r="K294" s="83"/>
      <c r="L294" s="83"/>
      <c r="M294" s="83"/>
      <c r="N294" s="83"/>
      <c r="O294" s="47"/>
    </row>
    <row r="295" spans="2:15" ht="15">
      <c r="B295" s="1" t="s">
        <v>296</v>
      </c>
      <c r="C295" s="46"/>
      <c r="D295" s="46"/>
      <c r="E295" s="46"/>
      <c r="F295" s="46"/>
      <c r="G295" s="46"/>
      <c r="H295" s="46"/>
      <c r="I295" s="25"/>
      <c r="J295" s="79"/>
      <c r="K295" s="79"/>
      <c r="L295" s="79"/>
      <c r="M295" s="79"/>
      <c r="N295" s="79"/>
      <c r="O295" s="47"/>
    </row>
    <row r="296" spans="2:15" ht="15">
      <c r="B296" s="2" t="s">
        <v>297</v>
      </c>
      <c r="C296" s="46"/>
      <c r="D296" s="46"/>
      <c r="E296" s="46"/>
      <c r="F296" s="46"/>
      <c r="G296" s="46"/>
      <c r="H296" s="46"/>
      <c r="I296" s="25"/>
      <c r="J296" s="80"/>
      <c r="K296" s="80"/>
      <c r="L296" s="80"/>
      <c r="M296" s="80"/>
      <c r="N296" s="80"/>
      <c r="O296" s="47"/>
    </row>
    <row r="297" spans="2:15" ht="15">
      <c r="B297" s="11"/>
      <c r="C297" s="46"/>
      <c r="D297" s="46"/>
      <c r="E297" s="46"/>
      <c r="F297" s="46"/>
      <c r="G297" s="46"/>
      <c r="H297" s="46"/>
      <c r="I297" s="25"/>
      <c r="J297" s="29"/>
      <c r="K297" s="29"/>
      <c r="L297" s="29"/>
      <c r="M297" s="29"/>
      <c r="N297" s="29"/>
      <c r="O297" s="47"/>
    </row>
    <row r="298" spans="2:15" ht="15">
      <c r="B298" s="1" t="s">
        <v>298</v>
      </c>
      <c r="C298" s="46"/>
      <c r="D298" s="46"/>
      <c r="E298" s="159">
        <f>E169</f>
        <v>2.3599656357388317</v>
      </c>
      <c r="F298" s="159">
        <f>F169</f>
        <v>3.9322766570605188</v>
      </c>
      <c r="G298" s="159">
        <f>G169</f>
        <v>4.384253819036427</v>
      </c>
      <c r="H298" s="159">
        <f>H169</f>
        <v>0.8100542702085118</v>
      </c>
      <c r="I298" s="160">
        <f>I169</f>
        <v>2.2517344931138035</v>
      </c>
      <c r="J298" s="159"/>
      <c r="K298" s="159"/>
      <c r="L298" s="159"/>
      <c r="M298" s="159"/>
      <c r="N298" s="159"/>
      <c r="O298" s="47"/>
    </row>
    <row r="299" spans="2:15" ht="15">
      <c r="B299" s="1" t="s">
        <v>299</v>
      </c>
      <c r="C299" s="46"/>
      <c r="D299" s="46"/>
      <c r="E299" s="159">
        <f>E172</f>
        <v>1.36</v>
      </c>
      <c r="F299" s="159">
        <f>F172</f>
        <v>1.36</v>
      </c>
      <c r="G299" s="159">
        <f>G172</f>
        <v>1.48</v>
      </c>
      <c r="H299" s="159">
        <f>H172</f>
        <v>1.52</v>
      </c>
      <c r="I299" s="160">
        <f>I172</f>
        <v>0.2</v>
      </c>
      <c r="J299" s="159"/>
      <c r="K299" s="159"/>
      <c r="L299" s="159"/>
      <c r="M299" s="159"/>
      <c r="N299" s="159"/>
      <c r="O299" s="47"/>
    </row>
    <row r="300" spans="2:15" ht="15">
      <c r="B300" s="1" t="s">
        <v>300</v>
      </c>
      <c r="C300" s="46"/>
      <c r="D300" s="46"/>
      <c r="E300" s="142">
        <f>E299/E298</f>
        <v>0.5762795777211503</v>
      </c>
      <c r="F300" s="142">
        <f>F299/F298</f>
        <v>0.3458556247709784</v>
      </c>
      <c r="G300" s="142">
        <f>G299/G298</f>
        <v>0.3375716965960869</v>
      </c>
      <c r="H300" s="142">
        <f>H299/H298</f>
        <v>1.8764174894217207</v>
      </c>
      <c r="I300" s="143">
        <f>I299/I298</f>
        <v>0.08882041848700852</v>
      </c>
      <c r="J300" s="40"/>
      <c r="K300" s="40"/>
      <c r="L300" s="40"/>
      <c r="M300" s="40"/>
      <c r="N300" s="40"/>
      <c r="O300" s="47"/>
    </row>
    <row r="301" spans="2:15" ht="15">
      <c r="B301" s="1" t="s">
        <v>318</v>
      </c>
      <c r="C301" s="46"/>
      <c r="D301" s="46"/>
      <c r="E301" s="79">
        <f>-E267-SUM(E160:E162)</f>
        <v>4865</v>
      </c>
      <c r="F301" s="79">
        <f>-F267-SUM(F160:F162)</f>
        <v>4842</v>
      </c>
      <c r="G301" s="79">
        <f>-G267-SUM(G160:G162)</f>
        <v>4610</v>
      </c>
      <c r="H301" s="79">
        <f>-H267-SUM(H160:H162)</f>
        <v>5048</v>
      </c>
      <c r="I301" s="80">
        <f>-I267-SUM(I160:I162)</f>
        <v>468</v>
      </c>
      <c r="J301" s="161"/>
      <c r="K301" s="161"/>
      <c r="L301" s="161"/>
      <c r="M301" s="161"/>
      <c r="N301" s="161"/>
      <c r="O301" s="47"/>
    </row>
    <row r="302" spans="2:15" ht="15">
      <c r="B302" s="2" t="s">
        <v>301</v>
      </c>
      <c r="C302" s="46"/>
      <c r="D302" s="46"/>
      <c r="E302" s="79"/>
      <c r="F302" s="79"/>
      <c r="G302" s="79"/>
      <c r="H302" s="79"/>
      <c r="I302" s="80"/>
      <c r="J302" s="162"/>
      <c r="K302" s="162"/>
      <c r="L302" s="162"/>
      <c r="M302" s="162"/>
      <c r="N302" s="162"/>
      <c r="O302" s="47"/>
    </row>
    <row r="303" spans="2:15" ht="15">
      <c r="B303" s="1"/>
      <c r="C303" s="46"/>
      <c r="D303" s="46"/>
      <c r="E303" s="79"/>
      <c r="F303" s="79"/>
      <c r="G303" s="79"/>
      <c r="H303" s="79"/>
      <c r="I303" s="80"/>
      <c r="J303" s="162"/>
      <c r="K303" s="162"/>
      <c r="L303" s="162"/>
      <c r="M303" s="162"/>
      <c r="N303" s="162"/>
      <c r="O303" s="47"/>
    </row>
    <row r="304" spans="2:15" ht="15">
      <c r="B304" s="2" t="s">
        <v>302</v>
      </c>
      <c r="C304" s="46"/>
      <c r="D304" s="46"/>
      <c r="E304" s="79"/>
      <c r="F304" s="79"/>
      <c r="G304" s="79"/>
      <c r="H304" s="79"/>
      <c r="I304" s="80"/>
      <c r="J304" s="162"/>
      <c r="K304" s="162"/>
      <c r="L304" s="162"/>
      <c r="M304" s="162"/>
      <c r="N304" s="162"/>
      <c r="O304" s="47"/>
    </row>
    <row r="305" spans="2:15" ht="15">
      <c r="B305" s="1" t="s">
        <v>303</v>
      </c>
      <c r="C305" s="46"/>
      <c r="D305" s="46"/>
      <c r="E305" s="79">
        <f>-E266</f>
        <v>3412</v>
      </c>
      <c r="F305" s="79">
        <f>-F266</f>
        <v>3938</v>
      </c>
      <c r="G305" s="79">
        <f>-G266</f>
        <v>8178</v>
      </c>
      <c r="H305" s="79">
        <f>-H266</f>
        <v>0</v>
      </c>
      <c r="I305" s="80">
        <f>-I266</f>
        <v>0</v>
      </c>
      <c r="J305" s="113"/>
      <c r="K305" s="113"/>
      <c r="L305" s="113"/>
      <c r="M305" s="113"/>
      <c r="N305" s="113"/>
      <c r="O305" s="47"/>
    </row>
    <row r="306" spans="2:15" ht="15">
      <c r="B306" s="2" t="s">
        <v>304</v>
      </c>
      <c r="C306" s="46"/>
      <c r="D306" s="46"/>
      <c r="E306" s="79"/>
      <c r="F306" s="79"/>
      <c r="G306" s="79"/>
      <c r="H306" s="79"/>
      <c r="I306" s="79"/>
      <c r="J306" s="162"/>
      <c r="K306" s="162"/>
      <c r="L306" s="162"/>
      <c r="M306" s="162"/>
      <c r="N306" s="162"/>
      <c r="O306" s="47"/>
    </row>
    <row r="307" spans="2:15" ht="15">
      <c r="B307" s="11"/>
      <c r="C307" s="46"/>
      <c r="D307" s="46"/>
      <c r="E307" s="46"/>
      <c r="F307" s="46"/>
      <c r="G307" s="46"/>
      <c r="H307" s="46"/>
      <c r="I307" s="25"/>
      <c r="J307" s="46"/>
      <c r="K307" s="46"/>
      <c r="L307" s="46"/>
      <c r="M307" s="46"/>
      <c r="N307" s="46"/>
      <c r="O307" s="47"/>
    </row>
    <row r="308" spans="2:15" ht="15">
      <c r="B308" s="2" t="s">
        <v>305</v>
      </c>
      <c r="C308" s="46"/>
      <c r="D308" s="46"/>
      <c r="E308" s="46"/>
      <c r="F308" s="46"/>
      <c r="G308" s="46"/>
      <c r="H308" s="46"/>
      <c r="I308" s="25"/>
      <c r="J308" s="46"/>
      <c r="K308" s="46"/>
      <c r="L308" s="46"/>
      <c r="M308" s="46"/>
      <c r="N308" s="46"/>
      <c r="O308" s="47"/>
    </row>
    <row r="309" spans="2:15" ht="15">
      <c r="B309" s="4" t="s">
        <v>306</v>
      </c>
      <c r="C309" s="46"/>
      <c r="D309" s="46"/>
      <c r="E309" s="46"/>
      <c r="F309" s="46"/>
      <c r="G309" s="46"/>
      <c r="H309" s="46"/>
      <c r="I309" s="23">
        <v>3973.010673</v>
      </c>
      <c r="J309" s="20"/>
      <c r="K309" s="20"/>
      <c r="L309" s="20"/>
      <c r="M309" s="20"/>
      <c r="N309" s="20"/>
      <c r="O309" s="47"/>
    </row>
    <row r="310" spans="2:15" ht="15">
      <c r="B310" s="4" t="s">
        <v>307</v>
      </c>
      <c r="C310" s="46"/>
      <c r="D310" s="46"/>
      <c r="E310" s="20">
        <f>E165</f>
        <v>3492</v>
      </c>
      <c r="F310" s="20">
        <f>F165</f>
        <v>3470</v>
      </c>
      <c r="G310" s="20">
        <f>G165</f>
        <v>3404</v>
      </c>
      <c r="H310" s="20">
        <f>H165</f>
        <v>3501</v>
      </c>
      <c r="I310" s="24">
        <f>I165</f>
        <v>3862.8</v>
      </c>
      <c r="J310" s="20"/>
      <c r="K310" s="20"/>
      <c r="L310" s="20"/>
      <c r="M310" s="20"/>
      <c r="N310" s="20"/>
      <c r="O310" s="47"/>
    </row>
    <row r="311" spans="2:15" ht="15">
      <c r="B311" s="4" t="s">
        <v>308</v>
      </c>
      <c r="C311" s="46"/>
      <c r="D311" s="46"/>
      <c r="E311" s="159">
        <f>E170</f>
        <v>2.3168400337362947</v>
      </c>
      <c r="F311" s="159">
        <f>F170</f>
        <v>3.817851147174035</v>
      </c>
      <c r="G311" s="159">
        <f>G170</f>
        <v>4.332075471698113</v>
      </c>
      <c r="H311" s="159">
        <f>H170</f>
        <v>0.8052700323698109</v>
      </c>
      <c r="I311" s="160">
        <f>I170</f>
        <v>2.2419259221073795</v>
      </c>
      <c r="J311" s="159"/>
      <c r="K311" s="159"/>
      <c r="L311" s="159"/>
      <c r="M311" s="159"/>
      <c r="N311" s="159"/>
      <c r="O311" s="47"/>
    </row>
    <row r="312" spans="2:15" ht="15">
      <c r="B312" s="4" t="s">
        <v>309</v>
      </c>
      <c r="C312" s="46"/>
      <c r="D312" s="46"/>
      <c r="E312" s="163">
        <f>E313/E311</f>
        <v>17.131092100473243</v>
      </c>
      <c r="F312" s="163">
        <f>F313/F311</f>
        <v>12.65109563942836</v>
      </c>
      <c r="G312" s="163">
        <f>G313/G311</f>
        <v>10.076001742160278</v>
      </c>
      <c r="H312" s="163">
        <f>H313/H311</f>
        <v>39.15456770098731</v>
      </c>
      <c r="I312" s="164">
        <f>I313/I311</f>
        <v>18.586697976546333</v>
      </c>
      <c r="J312" s="165"/>
      <c r="K312" s="165"/>
      <c r="L312" s="165"/>
      <c r="M312" s="165"/>
      <c r="N312" s="165"/>
      <c r="O312" s="47"/>
    </row>
    <row r="313" spans="2:15" ht="15">
      <c r="B313" s="4" t="s">
        <v>310</v>
      </c>
      <c r="C313" s="46"/>
      <c r="D313" s="46"/>
      <c r="E313" s="30">
        <v>39.69</v>
      </c>
      <c r="F313" s="30">
        <v>48.3</v>
      </c>
      <c r="G313" s="30">
        <v>43.65</v>
      </c>
      <c r="H313" s="30">
        <v>31.53</v>
      </c>
      <c r="I313" s="166">
        <v>41.67</v>
      </c>
      <c r="J313" s="159"/>
      <c r="K313" s="159"/>
      <c r="L313" s="159"/>
      <c r="M313" s="159"/>
      <c r="N313" s="159"/>
      <c r="O313" s="47"/>
    </row>
    <row r="314" spans="2:15" ht="15">
      <c r="B314" s="11"/>
      <c r="C314" s="46"/>
      <c r="D314" s="46"/>
      <c r="E314" s="46"/>
      <c r="F314" s="46"/>
      <c r="G314" s="46"/>
      <c r="H314" s="46"/>
      <c r="I314" s="25"/>
      <c r="J314" s="46"/>
      <c r="K314" s="46"/>
      <c r="L314" s="46"/>
      <c r="M314" s="46"/>
      <c r="N314" s="46"/>
      <c r="O314" s="47"/>
    </row>
    <row r="315" spans="2:15" ht="15">
      <c r="B315" s="4" t="s">
        <v>311</v>
      </c>
      <c r="C315" s="46"/>
      <c r="D315" s="46"/>
      <c r="E315" s="79">
        <f>E266</f>
        <v>-3412</v>
      </c>
      <c r="F315" s="79">
        <f>F266</f>
        <v>-3938</v>
      </c>
      <c r="G315" s="79">
        <f>G266</f>
        <v>-8178</v>
      </c>
      <c r="H315" s="79">
        <f>H266</f>
        <v>0</v>
      </c>
      <c r="I315" s="79">
        <f>I266</f>
        <v>0</v>
      </c>
      <c r="J315" s="20"/>
      <c r="K315" s="20"/>
      <c r="L315" s="20"/>
      <c r="M315" s="20"/>
      <c r="N315" s="20"/>
      <c r="O315" s="47"/>
    </row>
    <row r="316" spans="2:15" ht="15">
      <c r="B316" s="4" t="s">
        <v>257</v>
      </c>
      <c r="C316" s="46"/>
      <c r="D316" s="46"/>
      <c r="E316" s="79">
        <f>E261</f>
        <v>682</v>
      </c>
      <c r="F316" s="79">
        <f>F261</f>
        <v>1659</v>
      </c>
      <c r="G316" s="79">
        <f>G261</f>
        <v>0</v>
      </c>
      <c r="H316" s="79">
        <f>H261</f>
        <v>11500</v>
      </c>
      <c r="I316" s="79">
        <f>I261</f>
        <v>5756</v>
      </c>
      <c r="J316" s="79"/>
      <c r="K316" s="79"/>
      <c r="L316" s="79"/>
      <c r="M316" s="79"/>
      <c r="N316" s="79"/>
      <c r="O316" s="47"/>
    </row>
    <row r="317" spans="2:15" ht="15">
      <c r="B317" s="4"/>
      <c r="C317" s="46"/>
      <c r="D317" s="46"/>
      <c r="E317" s="79"/>
      <c r="F317" s="79"/>
      <c r="G317" s="79"/>
      <c r="H317" s="79"/>
      <c r="I317" s="80"/>
      <c r="J317" s="79"/>
      <c r="K317" s="79"/>
      <c r="L317" s="79"/>
      <c r="M317" s="79"/>
      <c r="N317" s="79"/>
      <c r="O317" s="47"/>
    </row>
    <row r="318" spans="2:15" ht="15">
      <c r="B318" s="4" t="s">
        <v>312</v>
      </c>
      <c r="C318" s="46"/>
      <c r="D318" s="46"/>
      <c r="E318" s="46"/>
      <c r="F318" s="46"/>
      <c r="G318" s="46"/>
      <c r="H318" s="46"/>
      <c r="I318" s="46"/>
      <c r="J318" s="116"/>
      <c r="K318" s="116"/>
      <c r="L318" s="116"/>
      <c r="M318" s="116"/>
      <c r="N318" s="116"/>
      <c r="O318" s="47"/>
    </row>
    <row r="319" spans="2:15" ht="15">
      <c r="B319" s="4" t="s">
        <v>313</v>
      </c>
      <c r="C319" s="46"/>
      <c r="D319" s="46"/>
      <c r="E319" s="46"/>
      <c r="F319" s="46"/>
      <c r="G319" s="46"/>
      <c r="H319" s="46"/>
      <c r="I319" s="46"/>
      <c r="J319" s="116"/>
      <c r="K319" s="116"/>
      <c r="L319" s="116"/>
      <c r="M319" s="116"/>
      <c r="N319" s="116"/>
      <c r="O319" s="47"/>
    </row>
    <row r="320" spans="2:15" ht="15">
      <c r="B320" s="167" t="s">
        <v>314</v>
      </c>
      <c r="C320" s="46"/>
      <c r="D320" s="46"/>
      <c r="E320" s="46"/>
      <c r="F320" s="46"/>
      <c r="G320" s="46"/>
      <c r="H320" s="46"/>
      <c r="I320" s="46"/>
      <c r="J320" s="168"/>
      <c r="K320" s="168"/>
      <c r="L320" s="168"/>
      <c r="M320" s="168"/>
      <c r="N320" s="168"/>
      <c r="O320" s="47"/>
    </row>
    <row r="321" spans="2:15" ht="15">
      <c r="B321" s="11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7"/>
    </row>
    <row r="322" spans="2:15" ht="15">
      <c r="B322" s="2" t="s">
        <v>30</v>
      </c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7"/>
    </row>
    <row r="323" spans="2:15" ht="15">
      <c r="B323" s="4" t="s">
        <v>315</v>
      </c>
      <c r="C323" s="46"/>
      <c r="D323" s="46"/>
      <c r="E323" s="46"/>
      <c r="F323" s="46"/>
      <c r="G323" s="46"/>
      <c r="H323" s="46"/>
      <c r="I323" s="46"/>
      <c r="J323" s="116"/>
      <c r="K323" s="116"/>
      <c r="L323" s="116"/>
      <c r="M323" s="116"/>
      <c r="N323" s="116"/>
      <c r="O323" s="47"/>
    </row>
    <row r="324" spans="2:15" ht="15">
      <c r="B324" s="4" t="s">
        <v>316</v>
      </c>
      <c r="C324" s="46"/>
      <c r="D324" s="46"/>
      <c r="E324" s="46"/>
      <c r="F324" s="46"/>
      <c r="G324" s="46"/>
      <c r="H324" s="46"/>
      <c r="I324" s="46"/>
      <c r="J324" s="170"/>
      <c r="K324" s="170"/>
      <c r="L324" s="170"/>
      <c r="M324" s="170"/>
      <c r="N324" s="170"/>
      <c r="O324" s="47"/>
    </row>
    <row r="325" spans="2:15" ht="15">
      <c r="B325" s="3" t="s">
        <v>317</v>
      </c>
      <c r="C325" s="48"/>
      <c r="D325" s="48"/>
      <c r="E325" s="48"/>
      <c r="F325" s="48"/>
      <c r="G325" s="48"/>
      <c r="H325" s="48"/>
      <c r="I325" s="48"/>
      <c r="J325" s="169"/>
      <c r="K325" s="169"/>
      <c r="L325" s="169"/>
      <c r="M325" s="169"/>
      <c r="N325" s="169"/>
      <c r="O325" s="49"/>
    </row>
  </sheetData>
  <sheetProtection/>
  <printOptions/>
  <pageMargins left="0.7" right="0.7" top="0.75" bottom="0.75" header="0.3" footer="0.3"/>
  <pageSetup fitToHeight="1" fitToWidth="1" horizontalDpi="300" verticalDpi="300" orientation="landscape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BIWS</dc:creator>
  <cp:keywords/>
  <dc:description/>
  <cp:lastModifiedBy>BIWS</cp:lastModifiedBy>
  <cp:lastPrinted>2010-08-18T08:19:14Z</cp:lastPrinted>
  <dcterms:created xsi:type="dcterms:W3CDTF">2009-06-26T05:31:17Z</dcterms:created>
  <dcterms:modified xsi:type="dcterms:W3CDTF">2010-08-20T13:18:40Z</dcterms:modified>
  <cp:category/>
  <cp:version/>
  <cp:contentType/>
  <cp:contentStatus/>
</cp:coreProperties>
</file>