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BIWS)\M&amp;I\Course-Revisions\Fundamentals-2014-Revision\13-LBO-Model-More-Advanced\13-10-Debt-Schedules-Part-1-Mandatory\"/>
    </mc:Choice>
  </mc:AlternateContent>
  <bookViews>
    <workbookView xWindow="0" yWindow="0" windowWidth="23040" windowHeight="10668"/>
  </bookViews>
  <sheets>
    <sheet name="CEC-LBO-Model" sheetId="1" r:id="rId1"/>
  </sheets>
  <definedNames>
    <definedName name="Basic_Shares">'CEC-LBO-Model'!$F$12</definedName>
    <definedName name="CapEx_Toggle">'CEC-LBO-Model'!$M$18</definedName>
    <definedName name="Circ_Ref">'CEC-LBO-Model'!$F$15</definedName>
    <definedName name="Company_name">'CEC-LBO-Model'!$F$7</definedName>
    <definedName name="Diluted_Shares">'CEC-LBO-Model'!$M$23</definedName>
    <definedName name="Expense_Toggle">'CEC-LBO-Model'!$M$17</definedName>
    <definedName name="Hist_Year">'CEC-LBO-Model'!$F$10</definedName>
    <definedName name="Investor_Ownership">'CEC-LBO-Model'!$G$110</definedName>
    <definedName name="LBO_Exit_Date">'CEC-LBO-Model'!$F$19</definedName>
    <definedName name="LBO_Exit_Multiple">'CEC-LBO-Model'!$F$18</definedName>
    <definedName name="LIBOR_Units">'CEC-LBO-Model'!$M$13</definedName>
    <definedName name="LTM_EBITDA">'CEC-LBO-Model'!$I$312</definedName>
    <definedName name="Min_Cash">'CEC-LBO-Model'!$F$62</definedName>
    <definedName name="Num_Store_Toggle">'CEC-LBO-Model'!$M$15</definedName>
    <definedName name="Offer_Price">'CEC-LBO-Model'!$M$9</definedName>
    <definedName name="PPE_Useful_Life">'CEC-LBO-Model'!$F$194</definedName>
    <definedName name="PPE_Writeup">'CEC-LBO-Model'!$M$116</definedName>
    <definedName name="_xlnm.Print_Area" localSheetId="0">'CEC-LBO-Model'!$A$1:$R$695</definedName>
    <definedName name="Refinance_Debt">'CEC-LBO-Model'!$F$16</definedName>
    <definedName name="Revolver">'CEC-LBO-Model'!$F$75</definedName>
    <definedName name="Revolver_Undrawn_Fee">'CEC-LBO-Model'!$L$82</definedName>
    <definedName name="Rollover_Shares">'CEC-LBO-Model'!$F$13</definedName>
    <definedName name="Sales_per_Store_Toggle">'CEC-LBO-Model'!$M$16</definedName>
    <definedName name="Share_Price">'CEC-LBO-Model'!$M$7</definedName>
    <definedName name="Tax_Rate">'CEC-LBO-Model'!$M$11</definedName>
    <definedName name="Units">'CEC-LBO-Model'!$M$12</definedName>
  </definedNames>
  <calcPr calcId="152511" calcMode="autoNoTable" iterate="1"/>
</workbook>
</file>

<file path=xl/calcChain.xml><?xml version="1.0" encoding="utf-8"?>
<calcChain xmlns="http://schemas.openxmlformats.org/spreadsheetml/2006/main">
  <c r="C495" i="1" l="1"/>
  <c r="O461" i="1"/>
  <c r="N461" i="1"/>
  <c r="O460" i="1"/>
  <c r="J386" i="1" l="1"/>
  <c r="J385" i="1"/>
  <c r="J383" i="1"/>
  <c r="J371" i="1"/>
  <c r="K351" i="1"/>
  <c r="J350" i="1"/>
  <c r="K346" i="1"/>
  <c r="F124" i="1" l="1"/>
  <c r="F123" i="1"/>
  <c r="M116" i="1"/>
  <c r="F121" i="1" s="1"/>
  <c r="F118" i="1"/>
  <c r="F117" i="1"/>
  <c r="F101" i="1" l="1"/>
  <c r="K342" i="1" s="1"/>
  <c r="E87" i="1"/>
  <c r="E90" i="1" s="1"/>
  <c r="E88" i="1" l="1"/>
  <c r="F80" i="1"/>
  <c r="Q302" i="1" l="1"/>
  <c r="P302" i="1"/>
  <c r="O302" i="1"/>
  <c r="N302" i="1"/>
  <c r="M302" i="1"/>
  <c r="L386" i="1" l="1"/>
  <c r="L385" i="1"/>
  <c r="L383" i="1"/>
  <c r="L370" i="1"/>
  <c r="L369" i="1"/>
  <c r="L364" i="1"/>
  <c r="L363" i="1"/>
  <c r="L362" i="1"/>
  <c r="L361" i="1"/>
  <c r="L354" i="1"/>
  <c r="L350" i="1"/>
  <c r="L346" i="1"/>
  <c r="M346" i="1" s="1"/>
  <c r="N346" i="1" s="1"/>
  <c r="O346" i="1" s="1"/>
  <c r="P346" i="1" s="1"/>
  <c r="Q346" i="1" s="1"/>
  <c r="L345" i="1"/>
  <c r="L344" i="1"/>
  <c r="L343" i="1"/>
  <c r="L365" i="1" l="1"/>
  <c r="M433" i="1"/>
  <c r="M386" i="1" s="1"/>
  <c r="M432" i="1"/>
  <c r="M431" i="1"/>
  <c r="N429" i="1"/>
  <c r="M429" i="1"/>
  <c r="M425" i="1"/>
  <c r="O249" i="1"/>
  <c r="O250" i="1" s="1"/>
  <c r="O253" i="1" s="1"/>
  <c r="O430" i="1" s="1"/>
  <c r="N249" i="1"/>
  <c r="N250" i="1" s="1"/>
  <c r="N253" i="1" s="1"/>
  <c r="N430" i="1" s="1"/>
  <c r="I246" i="1"/>
  <c r="M249" i="1" s="1"/>
  <c r="M250" i="1" s="1"/>
  <c r="M253" i="1" s="1"/>
  <c r="M430" i="1" s="1"/>
  <c r="M369" i="1" s="1"/>
  <c r="N369" i="1" s="1"/>
  <c r="O369" i="1" s="1"/>
  <c r="I245" i="1"/>
  <c r="N252" i="1"/>
  <c r="O252" i="1" s="1"/>
  <c r="P252" i="1" s="1"/>
  <c r="Q252" i="1" s="1"/>
  <c r="Q429" i="1" s="1"/>
  <c r="N256" i="1"/>
  <c r="O256" i="1" s="1"/>
  <c r="P256" i="1" s="1"/>
  <c r="Q256" i="1" s="1"/>
  <c r="Q433" i="1" s="1"/>
  <c r="N255" i="1"/>
  <c r="O255" i="1" s="1"/>
  <c r="P255" i="1" s="1"/>
  <c r="Q255" i="1" s="1"/>
  <c r="Q432" i="1" s="1"/>
  <c r="N254" i="1"/>
  <c r="O254" i="1" s="1"/>
  <c r="P254" i="1" s="1"/>
  <c r="Q254" i="1" s="1"/>
  <c r="Q431" i="1" s="1"/>
  <c r="N241" i="1"/>
  <c r="N425" i="1" s="1"/>
  <c r="Q249" i="1" l="1"/>
  <c r="Q250" i="1" s="1"/>
  <c r="Q253" i="1" s="1"/>
  <c r="Q430" i="1" s="1"/>
  <c r="P249" i="1"/>
  <c r="P250" i="1" s="1"/>
  <c r="P253" i="1" s="1"/>
  <c r="P430" i="1" s="1"/>
  <c r="P369" i="1" s="1"/>
  <c r="Q369" i="1" s="1"/>
  <c r="O241" i="1"/>
  <c r="O425" i="1" s="1"/>
  <c r="P432" i="1"/>
  <c r="N433" i="1"/>
  <c r="N386" i="1" s="1"/>
  <c r="O433" i="1"/>
  <c r="P433" i="1"/>
  <c r="M434" i="1"/>
  <c r="N432" i="1"/>
  <c r="O432" i="1"/>
  <c r="P431" i="1"/>
  <c r="Q434" i="1"/>
  <c r="N431" i="1"/>
  <c r="N434" i="1" s="1"/>
  <c r="O431" i="1"/>
  <c r="P429" i="1"/>
  <c r="O429" i="1"/>
  <c r="Q142" i="1"/>
  <c r="P142" i="1"/>
  <c r="O142" i="1"/>
  <c r="N142" i="1"/>
  <c r="M142" i="1"/>
  <c r="Q141" i="1"/>
  <c r="P141" i="1"/>
  <c r="O141" i="1"/>
  <c r="N141" i="1"/>
  <c r="M141" i="1"/>
  <c r="M197" i="1" s="1"/>
  <c r="P241" i="1" l="1"/>
  <c r="O434" i="1"/>
  <c r="O386" i="1"/>
  <c r="P386" i="1" s="1"/>
  <c r="Q386" i="1" s="1"/>
  <c r="P434" i="1"/>
  <c r="P425" i="1"/>
  <c r="Q241" i="1"/>
  <c r="Q425" i="1" s="1"/>
  <c r="Q197" i="1" l="1"/>
  <c r="P197" i="1"/>
  <c r="O197" i="1"/>
  <c r="N197" i="1"/>
  <c r="M196" i="1"/>
  <c r="M292" i="1" l="1"/>
  <c r="M410" i="1" s="1"/>
  <c r="M291" i="1"/>
  <c r="M409" i="1" s="1"/>
  <c r="N189" i="1"/>
  <c r="O189" i="1" s="1"/>
  <c r="P189" i="1" s="1"/>
  <c r="Q189" i="1" s="1"/>
  <c r="Q292" i="1" s="1"/>
  <c r="Q410" i="1" s="1"/>
  <c r="N188" i="1"/>
  <c r="O188" i="1" s="1"/>
  <c r="P188" i="1" s="1"/>
  <c r="Q188" i="1" s="1"/>
  <c r="Q291" i="1" s="1"/>
  <c r="Q409" i="1" s="1"/>
  <c r="Q183" i="1"/>
  <c r="P183" i="1"/>
  <c r="O183" i="1"/>
  <c r="N183" i="1"/>
  <c r="M183" i="1"/>
  <c r="N291" i="1" l="1"/>
  <c r="N409" i="1" s="1"/>
  <c r="N292" i="1"/>
  <c r="N410" i="1" s="1"/>
  <c r="O291" i="1"/>
  <c r="O409" i="1" s="1"/>
  <c r="P291" i="1"/>
  <c r="P409" i="1" s="1"/>
  <c r="O292" i="1"/>
  <c r="O410" i="1" s="1"/>
  <c r="P292" i="1"/>
  <c r="P410" i="1" s="1"/>
  <c r="Q164" i="1"/>
  <c r="P164" i="1"/>
  <c r="O164" i="1"/>
  <c r="N164" i="1"/>
  <c r="M164" i="1"/>
  <c r="M146" i="1"/>
  <c r="M149" i="1" s="1"/>
  <c r="N146" i="1" l="1"/>
  <c r="K454" i="1"/>
  <c r="J454" i="1"/>
  <c r="E454" i="1"/>
  <c r="M453" i="1"/>
  <c r="J453" i="1"/>
  <c r="F453" i="1"/>
  <c r="K396" i="1"/>
  <c r="J396" i="1"/>
  <c r="E396" i="1"/>
  <c r="M395" i="1"/>
  <c r="J395" i="1"/>
  <c r="F395" i="1"/>
  <c r="K339" i="1"/>
  <c r="J339" i="1"/>
  <c r="E339" i="1"/>
  <c r="M338" i="1"/>
  <c r="J338" i="1"/>
  <c r="F338" i="1"/>
  <c r="K316" i="1"/>
  <c r="J316" i="1"/>
  <c r="E316" i="1"/>
  <c r="M315" i="1"/>
  <c r="J315" i="1"/>
  <c r="F315" i="1"/>
  <c r="K261" i="1"/>
  <c r="J261" i="1"/>
  <c r="E261" i="1"/>
  <c r="M260" i="1"/>
  <c r="J260" i="1"/>
  <c r="F260" i="1"/>
  <c r="K226" i="1"/>
  <c r="J226" i="1"/>
  <c r="E226" i="1"/>
  <c r="M225" i="1"/>
  <c r="J225" i="1"/>
  <c r="F225" i="1"/>
  <c r="K192" i="1"/>
  <c r="J192" i="1"/>
  <c r="E192" i="1"/>
  <c r="M191" i="1"/>
  <c r="J191" i="1"/>
  <c r="F191" i="1"/>
  <c r="N149" i="1" l="1"/>
  <c r="O146" i="1"/>
  <c r="F42" i="1"/>
  <c r="F38" i="1"/>
  <c r="P146" i="1" l="1"/>
  <c r="O149" i="1"/>
  <c r="G684" i="1"/>
  <c r="G686" i="1" s="1"/>
  <c r="G656" i="1"/>
  <c r="G658" i="1" s="1"/>
  <c r="G642" i="1"/>
  <c r="G644" i="1" s="1"/>
  <c r="I159" i="1"/>
  <c r="H159" i="1"/>
  <c r="G159" i="1"/>
  <c r="F159" i="1"/>
  <c r="F686" i="1"/>
  <c r="N672" i="1"/>
  <c r="M672" i="1"/>
  <c r="L672" i="1"/>
  <c r="K672" i="1"/>
  <c r="J672" i="1"/>
  <c r="I672" i="1"/>
  <c r="H672" i="1"/>
  <c r="G672" i="1"/>
  <c r="F672" i="1"/>
  <c r="F658" i="1"/>
  <c r="F644" i="1"/>
  <c r="K632" i="1"/>
  <c r="J632" i="1"/>
  <c r="F632" i="1"/>
  <c r="E636" i="1"/>
  <c r="D636" i="1" s="1"/>
  <c r="D637" i="1"/>
  <c r="Q146" i="1" l="1"/>
  <c r="Q149" i="1" s="1"/>
  <c r="P149" i="1"/>
  <c r="H656" i="1"/>
  <c r="I656" i="1" s="1"/>
  <c r="J656" i="1" s="1"/>
  <c r="K656" i="1" s="1"/>
  <c r="L656" i="1" s="1"/>
  <c r="M656" i="1" s="1"/>
  <c r="N656" i="1" s="1"/>
  <c r="H642" i="1"/>
  <c r="I642" i="1" s="1"/>
  <c r="J642" i="1" s="1"/>
  <c r="K642" i="1" s="1"/>
  <c r="L642" i="1" s="1"/>
  <c r="M642" i="1" s="1"/>
  <c r="N642" i="1" s="1"/>
  <c r="H684" i="1"/>
  <c r="H686" i="1" s="1"/>
  <c r="E635" i="1"/>
  <c r="E634" i="1" s="1"/>
  <c r="D634" i="1" s="1"/>
  <c r="I684" i="1" l="1"/>
  <c r="J684" i="1" s="1"/>
  <c r="E633" i="1"/>
  <c r="D633" i="1" s="1"/>
  <c r="D635" i="1"/>
  <c r="H644" i="1"/>
  <c r="H658" i="1"/>
  <c r="I686" i="1" l="1"/>
  <c r="J686" i="1"/>
  <c r="K684" i="1"/>
  <c r="I644" i="1"/>
  <c r="I658" i="1"/>
  <c r="L684" i="1" l="1"/>
  <c r="K686" i="1"/>
  <c r="J644" i="1"/>
  <c r="J658" i="1"/>
  <c r="M684" i="1" l="1"/>
  <c r="L686" i="1"/>
  <c r="K644" i="1"/>
  <c r="K658" i="1"/>
  <c r="N684" i="1" l="1"/>
  <c r="N686" i="1" s="1"/>
  <c r="M686" i="1"/>
  <c r="L644" i="1"/>
  <c r="L658" i="1"/>
  <c r="N644" i="1" l="1"/>
  <c r="M644" i="1"/>
  <c r="M658" i="1"/>
  <c r="N658" i="1"/>
  <c r="L620" i="1" l="1"/>
  <c r="M620" i="1" s="1"/>
  <c r="N620" i="1" s="1"/>
  <c r="G620" i="1"/>
  <c r="H620" i="1" s="1"/>
  <c r="I620" i="1" s="1"/>
  <c r="E614" i="1"/>
  <c r="E615" i="1" s="1"/>
  <c r="D615" i="1" s="1"/>
  <c r="D627" i="1" s="1"/>
  <c r="D651" i="1" s="1"/>
  <c r="D665" i="1" s="1"/>
  <c r="D679" i="1" s="1"/>
  <c r="D693" i="1" s="1"/>
  <c r="L608" i="1"/>
  <c r="E625" i="1"/>
  <c r="E649" i="1" s="1"/>
  <c r="E663" i="1" s="1"/>
  <c r="E677" i="1" s="1"/>
  <c r="E691" i="1" s="1"/>
  <c r="E621" i="1"/>
  <c r="E645" i="1" s="1"/>
  <c r="E659" i="1" s="1"/>
  <c r="E673" i="1" s="1"/>
  <c r="E687" i="1" s="1"/>
  <c r="C621" i="1"/>
  <c r="C645" i="1" s="1"/>
  <c r="C659" i="1" s="1"/>
  <c r="C673" i="1" s="1"/>
  <c r="C687" i="1" s="1"/>
  <c r="D613" i="1"/>
  <c r="D625" i="1" s="1"/>
  <c r="D649" i="1" s="1"/>
  <c r="D663" i="1" s="1"/>
  <c r="D677" i="1" s="1"/>
  <c r="D691" i="1" s="1"/>
  <c r="E610" i="1"/>
  <c r="E622" i="1" s="1"/>
  <c r="E646" i="1" s="1"/>
  <c r="D609" i="1"/>
  <c r="D621" i="1" s="1"/>
  <c r="D645" i="1" s="1"/>
  <c r="D659" i="1" s="1"/>
  <c r="D673" i="1" s="1"/>
  <c r="D687" i="1" s="1"/>
  <c r="G608" i="1"/>
  <c r="G565" i="1"/>
  <c r="H565" i="1"/>
  <c r="I565" i="1"/>
  <c r="G567" i="1"/>
  <c r="H567" i="1"/>
  <c r="I567" i="1"/>
  <c r="G568" i="1"/>
  <c r="H568" i="1"/>
  <c r="I568" i="1"/>
  <c r="G569" i="1"/>
  <c r="H569" i="1"/>
  <c r="I569" i="1"/>
  <c r="G570" i="1"/>
  <c r="H570" i="1"/>
  <c r="I570" i="1"/>
  <c r="F569" i="1"/>
  <c r="F570" i="1"/>
  <c r="F568" i="1"/>
  <c r="F567" i="1"/>
  <c r="F565" i="1"/>
  <c r="H608" i="1" l="1"/>
  <c r="G632" i="1"/>
  <c r="M608" i="1"/>
  <c r="L632" i="1"/>
  <c r="D614" i="1"/>
  <c r="D626" i="1" s="1"/>
  <c r="D650" i="1" s="1"/>
  <c r="D664" i="1" s="1"/>
  <c r="D678" i="1" s="1"/>
  <c r="D692" i="1" s="1"/>
  <c r="E626" i="1"/>
  <c r="E650" i="1" s="1"/>
  <c r="E664" i="1" s="1"/>
  <c r="E678" i="1" s="1"/>
  <c r="E692" i="1" s="1"/>
  <c r="E611" i="1"/>
  <c r="D611" i="1" s="1"/>
  <c r="D623" i="1" s="1"/>
  <c r="D647" i="1" s="1"/>
  <c r="D661" i="1" s="1"/>
  <c r="D675" i="1" s="1"/>
  <c r="D689" i="1" s="1"/>
  <c r="D612" i="1"/>
  <c r="D624" i="1" s="1"/>
  <c r="D648" i="1" s="1"/>
  <c r="D662" i="1" s="1"/>
  <c r="D676" i="1" s="1"/>
  <c r="D690" i="1" s="1"/>
  <c r="E624" i="1"/>
  <c r="E648" i="1" s="1"/>
  <c r="E662" i="1" s="1"/>
  <c r="E676" i="1" s="1"/>
  <c r="E690" i="1" s="1"/>
  <c r="E627" i="1"/>
  <c r="E651" i="1" s="1"/>
  <c r="E665" i="1" s="1"/>
  <c r="E679" i="1" s="1"/>
  <c r="E693" i="1" s="1"/>
  <c r="D610" i="1"/>
  <c r="D622" i="1" s="1"/>
  <c r="D646" i="1" s="1"/>
  <c r="D660" i="1" s="1"/>
  <c r="D674" i="1" s="1"/>
  <c r="D688" i="1" s="1"/>
  <c r="N608" i="1" l="1"/>
  <c r="N632" i="1" s="1"/>
  <c r="M632" i="1"/>
  <c r="E623" i="1"/>
  <c r="E647" i="1" s="1"/>
  <c r="E661" i="1" s="1"/>
  <c r="E675" i="1" s="1"/>
  <c r="E689" i="1" s="1"/>
  <c r="I608" i="1"/>
  <c r="I632" i="1" s="1"/>
  <c r="H632" i="1"/>
  <c r="I222" i="1"/>
  <c r="H222" i="1"/>
  <c r="G222" i="1"/>
  <c r="F222" i="1"/>
  <c r="I525" i="1"/>
  <c r="H525" i="1"/>
  <c r="G525" i="1"/>
  <c r="F525" i="1"/>
  <c r="I166" i="1"/>
  <c r="H166" i="1"/>
  <c r="G166" i="1"/>
  <c r="F166" i="1"/>
  <c r="M166" i="1" l="1"/>
  <c r="F67" i="1"/>
  <c r="M97" i="1" l="1"/>
  <c r="M96" i="1"/>
  <c r="J368" i="1" s="1"/>
  <c r="L368" i="1" s="1"/>
  <c r="M368" i="1" s="1"/>
  <c r="N368" i="1" s="1"/>
  <c r="O368" i="1" s="1"/>
  <c r="P368" i="1" s="1"/>
  <c r="Q368" i="1" s="1"/>
  <c r="M266" i="1"/>
  <c r="N166" i="1"/>
  <c r="H468" i="1"/>
  <c r="H467" i="1"/>
  <c r="H466" i="1"/>
  <c r="H465" i="1"/>
  <c r="G470" i="1"/>
  <c r="G469" i="1"/>
  <c r="F468" i="1"/>
  <c r="F467" i="1"/>
  <c r="F466" i="1"/>
  <c r="F465" i="1"/>
  <c r="F103" i="1" l="1"/>
  <c r="N266" i="1"/>
  <c r="O166" i="1"/>
  <c r="I258" i="1"/>
  <c r="H258" i="1"/>
  <c r="G258" i="1"/>
  <c r="F258" i="1"/>
  <c r="I256" i="1"/>
  <c r="H256" i="1"/>
  <c r="G256" i="1"/>
  <c r="F256" i="1"/>
  <c r="I255" i="1"/>
  <c r="H255" i="1"/>
  <c r="G255" i="1"/>
  <c r="F255" i="1"/>
  <c r="I254" i="1"/>
  <c r="H254" i="1"/>
  <c r="G254" i="1"/>
  <c r="F254" i="1"/>
  <c r="I253" i="1"/>
  <c r="H253" i="1"/>
  <c r="G253" i="1"/>
  <c r="F253" i="1"/>
  <c r="I252" i="1"/>
  <c r="H252" i="1"/>
  <c r="G252" i="1"/>
  <c r="F252" i="1"/>
  <c r="I241" i="1"/>
  <c r="H241" i="1"/>
  <c r="G241" i="1"/>
  <c r="F241" i="1"/>
  <c r="I240" i="1"/>
  <c r="H240" i="1"/>
  <c r="G240" i="1"/>
  <c r="F240" i="1"/>
  <c r="M240" i="1" s="1"/>
  <c r="M258" i="1" l="1"/>
  <c r="N240" i="1"/>
  <c r="M411" i="1"/>
  <c r="M354" i="1" s="1"/>
  <c r="P166" i="1"/>
  <c r="O266" i="1"/>
  <c r="I189" i="1"/>
  <c r="H189" i="1"/>
  <c r="G189" i="1"/>
  <c r="F189" i="1"/>
  <c r="I188" i="1"/>
  <c r="H188" i="1"/>
  <c r="G188" i="1"/>
  <c r="F188" i="1"/>
  <c r="I293" i="1"/>
  <c r="H293" i="1"/>
  <c r="G293" i="1"/>
  <c r="F293" i="1"/>
  <c r="C504" i="1"/>
  <c r="C494" i="1"/>
  <c r="C473" i="1"/>
  <c r="O240" i="1" l="1"/>
  <c r="N411" i="1"/>
  <c r="N354" i="1" s="1"/>
  <c r="N258" i="1"/>
  <c r="M436" i="1"/>
  <c r="M385" i="1" s="1"/>
  <c r="Q166" i="1"/>
  <c r="Q266" i="1" s="1"/>
  <c r="P266" i="1"/>
  <c r="C377" i="1"/>
  <c r="C376" i="1"/>
  <c r="C375" i="1"/>
  <c r="C374" i="1"/>
  <c r="C373" i="1"/>
  <c r="C372" i="1"/>
  <c r="I302" i="1"/>
  <c r="I566" i="1" s="1"/>
  <c r="H302" i="1"/>
  <c r="H566" i="1" s="1"/>
  <c r="G302" i="1"/>
  <c r="G566" i="1" s="1"/>
  <c r="F302" i="1"/>
  <c r="F566" i="1" s="1"/>
  <c r="O258" i="1" l="1"/>
  <c r="N436" i="1"/>
  <c r="N385" i="1" s="1"/>
  <c r="P240" i="1"/>
  <c r="O411" i="1"/>
  <c r="O354" i="1" s="1"/>
  <c r="I378" i="1"/>
  <c r="H378" i="1"/>
  <c r="G378" i="1"/>
  <c r="F378" i="1"/>
  <c r="I355" i="1"/>
  <c r="H355" i="1"/>
  <c r="G355" i="1"/>
  <c r="F355" i="1"/>
  <c r="Q240" i="1" l="1"/>
  <c r="Q411" i="1" s="1"/>
  <c r="P411" i="1"/>
  <c r="P354" i="1" s="1"/>
  <c r="Q354" i="1" s="1"/>
  <c r="P258" i="1"/>
  <c r="O436" i="1"/>
  <c r="O385" i="1" s="1"/>
  <c r="C100" i="1"/>
  <c r="C99" i="1"/>
  <c r="C97" i="1"/>
  <c r="P385" i="1" l="1"/>
  <c r="Q385" i="1" s="1"/>
  <c r="Q258" i="1"/>
  <c r="Q436" i="1" s="1"/>
  <c r="P436" i="1"/>
  <c r="C446" i="1"/>
  <c r="C510" i="1"/>
  <c r="C470" i="1"/>
  <c r="C481" i="1"/>
  <c r="C500" i="1"/>
  <c r="C445" i="1"/>
  <c r="C499" i="1"/>
  <c r="C509" i="1"/>
  <c r="C469" i="1"/>
  <c r="C480" i="1"/>
  <c r="C443" i="1"/>
  <c r="C478" i="1"/>
  <c r="C497" i="1"/>
  <c r="C507" i="1"/>
  <c r="C467" i="1"/>
  <c r="M120" i="1"/>
  <c r="M115" i="1"/>
  <c r="F115" i="1"/>
  <c r="M94" i="1" l="1"/>
  <c r="F94" i="1"/>
  <c r="L57" i="1"/>
  <c r="F65" i="1"/>
  <c r="M55" i="1"/>
  <c r="F55" i="1"/>
  <c r="M46" i="1"/>
  <c r="M42" i="1"/>
  <c r="M43" i="1"/>
  <c r="M41" i="1"/>
  <c r="M40" i="1"/>
  <c r="M39" i="1"/>
  <c r="M38" i="1"/>
  <c r="M37" i="1"/>
  <c r="M36" i="1"/>
  <c r="M35" i="1"/>
  <c r="D31" i="1"/>
  <c r="J30" i="1"/>
  <c r="I30" i="1"/>
  <c r="F30" i="1"/>
  <c r="J29" i="1"/>
  <c r="I29" i="1"/>
  <c r="F29" i="1"/>
  <c r="B2" i="1"/>
  <c r="F31" i="1" l="1"/>
  <c r="F23" i="1" s="1"/>
  <c r="J31" i="1"/>
  <c r="F33" i="1" l="1"/>
  <c r="F47" i="1" l="1"/>
  <c r="K576" i="1" l="1"/>
  <c r="J576" i="1"/>
  <c r="M575" i="1"/>
  <c r="J575" i="1"/>
  <c r="F575" i="1"/>
  <c r="K519" i="1"/>
  <c r="J519" i="1"/>
  <c r="J518" i="1"/>
  <c r="K169" i="1"/>
  <c r="J169" i="1"/>
  <c r="J168" i="1"/>
  <c r="M518" i="1"/>
  <c r="F518" i="1"/>
  <c r="I389" i="1" l="1"/>
  <c r="I527" i="1" s="1"/>
  <c r="H389" i="1"/>
  <c r="H527" i="1" s="1"/>
  <c r="G389" i="1"/>
  <c r="G527" i="1" s="1"/>
  <c r="F389" i="1"/>
  <c r="F527" i="1" s="1"/>
  <c r="H528" i="1" l="1"/>
  <c r="H554" i="1" s="1"/>
  <c r="H553" i="1"/>
  <c r="F528" i="1"/>
  <c r="F554" i="1" s="1"/>
  <c r="F553" i="1"/>
  <c r="G528" i="1"/>
  <c r="G554" i="1" s="1"/>
  <c r="G553" i="1"/>
  <c r="I528" i="1"/>
  <c r="I554" i="1" s="1"/>
  <c r="I553" i="1"/>
  <c r="C388" i="1"/>
  <c r="C387" i="1"/>
  <c r="I286" i="1"/>
  <c r="I295" i="1" s="1"/>
  <c r="I236" i="1" s="1"/>
  <c r="H286" i="1"/>
  <c r="H295" i="1" s="1"/>
  <c r="H236" i="1" s="1"/>
  <c r="G286" i="1"/>
  <c r="G295" i="1" s="1"/>
  <c r="G236" i="1" s="1"/>
  <c r="F286" i="1"/>
  <c r="F295" i="1" s="1"/>
  <c r="F236" i="1" s="1"/>
  <c r="M236" i="1" s="1"/>
  <c r="N236" i="1" s="1"/>
  <c r="O236" i="1" s="1"/>
  <c r="P236" i="1" s="1"/>
  <c r="Q236" i="1" s="1"/>
  <c r="C98" i="1" l="1"/>
  <c r="C96" i="1"/>
  <c r="C95" i="1"/>
  <c r="M9" i="1"/>
  <c r="F70" i="1" s="1"/>
  <c r="F102" i="1" s="1"/>
  <c r="K387" i="1" s="1"/>
  <c r="L387" i="1" s="1"/>
  <c r="M387" i="1" l="1"/>
  <c r="N387" i="1" s="1"/>
  <c r="O387" i="1" s="1"/>
  <c r="P387" i="1" s="1"/>
  <c r="Q387" i="1" s="1"/>
  <c r="C442" i="1"/>
  <c r="C466" i="1"/>
  <c r="C477" i="1"/>
  <c r="C496" i="1"/>
  <c r="C506" i="1"/>
  <c r="C441" i="1"/>
  <c r="C465" i="1"/>
  <c r="C476" i="1"/>
  <c r="C505" i="1"/>
  <c r="C444" i="1"/>
  <c r="C479" i="1"/>
  <c r="C498" i="1"/>
  <c r="C508" i="1"/>
  <c r="C468" i="1"/>
  <c r="M30" i="1"/>
  <c r="M29" i="1"/>
  <c r="M31" i="1" l="1"/>
  <c r="M23" i="1" s="1"/>
  <c r="F108" i="1" s="1"/>
  <c r="F109" i="1" s="1"/>
  <c r="F111" i="1" s="1"/>
  <c r="M33" i="1" l="1"/>
  <c r="M47" i="1" l="1"/>
  <c r="M95" i="1" l="1"/>
  <c r="F116" i="1"/>
  <c r="F119" i="1" s="1"/>
  <c r="F56" i="1"/>
  <c r="M98" i="1" s="1"/>
  <c r="J384" i="1" s="1"/>
  <c r="L384" i="1" s="1"/>
  <c r="F66" i="1"/>
  <c r="M121" i="1" l="1"/>
  <c r="G434" i="1"/>
  <c r="H434" i="1"/>
  <c r="I434" i="1"/>
  <c r="F434" i="1"/>
  <c r="G421" i="1"/>
  <c r="H421" i="1"/>
  <c r="I421" i="1"/>
  <c r="F421" i="1"/>
  <c r="G426" i="1"/>
  <c r="H426" i="1"/>
  <c r="I426" i="1"/>
  <c r="F426" i="1"/>
  <c r="M123" i="1" l="1"/>
  <c r="M125" i="1"/>
  <c r="M127" i="1" s="1"/>
  <c r="H449" i="1"/>
  <c r="I449" i="1"/>
  <c r="G449" i="1"/>
  <c r="F449" i="1"/>
  <c r="F451" i="1" s="1"/>
  <c r="F194" i="1"/>
  <c r="L117" i="1" s="1"/>
  <c r="M118" i="1" s="1"/>
  <c r="F172" i="1"/>
  <c r="F171" i="1"/>
  <c r="F273" i="1"/>
  <c r="F232" i="1" s="1"/>
  <c r="F267" i="1"/>
  <c r="F205" i="1"/>
  <c r="F204" i="1"/>
  <c r="F202" i="1"/>
  <c r="F199" i="1"/>
  <c r="H204" i="1"/>
  <c r="G204" i="1"/>
  <c r="I204" i="1"/>
  <c r="H205" i="1"/>
  <c r="G205" i="1"/>
  <c r="I205" i="1"/>
  <c r="H199" i="1"/>
  <c r="G199" i="1"/>
  <c r="I199" i="1"/>
  <c r="F122" i="1" l="1"/>
  <c r="J352" i="1" s="1"/>
  <c r="L352" i="1" s="1"/>
  <c r="M352" i="1" s="1"/>
  <c r="N352" i="1" s="1"/>
  <c r="O352" i="1" s="1"/>
  <c r="P352" i="1" s="1"/>
  <c r="Q352" i="1" s="1"/>
  <c r="F210" i="1"/>
  <c r="F539" i="1" s="1"/>
  <c r="F268" i="1"/>
  <c r="F531" i="1" s="1"/>
  <c r="F212" i="1"/>
  <c r="F223" i="1"/>
  <c r="F538" i="1" s="1"/>
  <c r="F207" i="1"/>
  <c r="F238" i="1"/>
  <c r="F342" i="1"/>
  <c r="F229" i="1"/>
  <c r="F234" i="1"/>
  <c r="F228" i="1"/>
  <c r="F186" i="1"/>
  <c r="F275" i="1"/>
  <c r="F185" i="1"/>
  <c r="G450" i="1" l="1"/>
  <c r="G451" i="1" s="1"/>
  <c r="G342" i="1" s="1"/>
  <c r="F526" i="1"/>
  <c r="F276" i="1"/>
  <c r="F529" i="1" l="1"/>
  <c r="F556" i="1" s="1"/>
  <c r="F555" i="1"/>
  <c r="H450" i="1"/>
  <c r="H451" i="1" s="1"/>
  <c r="H342" i="1" s="1"/>
  <c r="H347" i="1" s="1"/>
  <c r="H357" i="1" s="1"/>
  <c r="G526" i="1"/>
  <c r="G365" i="1"/>
  <c r="G380" i="1" s="1"/>
  <c r="H365" i="1"/>
  <c r="H380" i="1" s="1"/>
  <c r="I365" i="1"/>
  <c r="I380" i="1" s="1"/>
  <c r="F365" i="1"/>
  <c r="F380" i="1" s="1"/>
  <c r="F347" i="1"/>
  <c r="F357" i="1" s="1"/>
  <c r="G347" i="1"/>
  <c r="G357" i="1" s="1"/>
  <c r="M168" i="1"/>
  <c r="F168" i="1"/>
  <c r="E169" i="1"/>
  <c r="G529" i="1" l="1"/>
  <c r="G556" i="1" s="1"/>
  <c r="G555" i="1"/>
  <c r="I450" i="1"/>
  <c r="I451" i="1" s="1"/>
  <c r="I342" i="1" s="1"/>
  <c r="L342" i="1" s="1"/>
  <c r="H526" i="1"/>
  <c r="F391" i="1"/>
  <c r="F393" i="1" s="1"/>
  <c r="I391" i="1"/>
  <c r="H391" i="1"/>
  <c r="H393" i="1" s="1"/>
  <c r="G391" i="1"/>
  <c r="G393" i="1" s="1"/>
  <c r="I172" i="1"/>
  <c r="H172" i="1"/>
  <c r="G172" i="1"/>
  <c r="H171" i="1"/>
  <c r="I171" i="1"/>
  <c r="G171" i="1"/>
  <c r="M171" i="1" s="1"/>
  <c r="N171" i="1" s="1"/>
  <c r="O171" i="1" s="1"/>
  <c r="P171" i="1" s="1"/>
  <c r="Q171" i="1" s="1"/>
  <c r="H273" i="1"/>
  <c r="I273" i="1"/>
  <c r="G273" i="1"/>
  <c r="H267" i="1"/>
  <c r="I267" i="1"/>
  <c r="G267" i="1"/>
  <c r="G185" i="1" s="1"/>
  <c r="G160" i="1"/>
  <c r="H160" i="1"/>
  <c r="I160" i="1"/>
  <c r="F137" i="1"/>
  <c r="M450" i="1" l="1"/>
  <c r="L347" i="1"/>
  <c r="I347" i="1"/>
  <c r="F34" i="1"/>
  <c r="H529" i="1"/>
  <c r="H556" i="1" s="1"/>
  <c r="H555" i="1"/>
  <c r="G238" i="1"/>
  <c r="M238" i="1" s="1"/>
  <c r="N238" i="1" s="1"/>
  <c r="O238" i="1" s="1"/>
  <c r="P238" i="1" s="1"/>
  <c r="Q238" i="1" s="1"/>
  <c r="G223" i="1"/>
  <c r="G538" i="1" s="1"/>
  <c r="G212" i="1"/>
  <c r="G210" i="1"/>
  <c r="G539" i="1" s="1"/>
  <c r="I223" i="1"/>
  <c r="I538" i="1" s="1"/>
  <c r="I212" i="1"/>
  <c r="I210" i="1"/>
  <c r="I539" i="1" s="1"/>
  <c r="H238" i="1"/>
  <c r="H223" i="1"/>
  <c r="H538" i="1" s="1"/>
  <c r="H212" i="1"/>
  <c r="H210" i="1"/>
  <c r="H539" i="1" s="1"/>
  <c r="I526" i="1"/>
  <c r="I238" i="1"/>
  <c r="G228" i="1"/>
  <c r="G234" i="1"/>
  <c r="I228" i="1"/>
  <c r="I234" i="1"/>
  <c r="H228" i="1"/>
  <c r="H234" i="1"/>
  <c r="G232" i="1"/>
  <c r="G229" i="1"/>
  <c r="I232" i="1"/>
  <c r="I229" i="1"/>
  <c r="H229" i="1"/>
  <c r="H232" i="1"/>
  <c r="G268" i="1"/>
  <c r="G531" i="1" s="1"/>
  <c r="G207" i="1"/>
  <c r="I186" i="1"/>
  <c r="I207" i="1"/>
  <c r="H185" i="1"/>
  <c r="H207" i="1"/>
  <c r="G134" i="1"/>
  <c r="F179" i="1"/>
  <c r="F178" i="1"/>
  <c r="F177" i="1"/>
  <c r="F160" i="1"/>
  <c r="F151" i="1" s="1"/>
  <c r="H186" i="1"/>
  <c r="I185" i="1"/>
  <c r="G186" i="1"/>
  <c r="I268" i="1"/>
  <c r="I531" i="1" s="1"/>
  <c r="H268" i="1"/>
  <c r="H531" i="1" s="1"/>
  <c r="G161" i="1"/>
  <c r="I161" i="1"/>
  <c r="H161" i="1"/>
  <c r="G275" i="1"/>
  <c r="H275" i="1"/>
  <c r="I275" i="1"/>
  <c r="F157" i="1"/>
  <c r="I132" i="1"/>
  <c r="M232" i="1" l="1"/>
  <c r="N232" i="1" s="1"/>
  <c r="O232" i="1" s="1"/>
  <c r="P232" i="1" s="1"/>
  <c r="Q232" i="1" s="1"/>
  <c r="M228" i="1"/>
  <c r="N228" i="1" s="1"/>
  <c r="O228" i="1" s="1"/>
  <c r="P228" i="1" s="1"/>
  <c r="Q228" i="1" s="1"/>
  <c r="I357" i="1"/>
  <c r="I393" i="1" s="1"/>
  <c r="I454" i="1"/>
  <c r="I316" i="1"/>
  <c r="I192" i="1"/>
  <c r="I261" i="1"/>
  <c r="I396" i="1"/>
  <c r="I339" i="1"/>
  <c r="I226" i="1"/>
  <c r="M34" i="1"/>
  <c r="F63" i="1"/>
  <c r="F44" i="1"/>
  <c r="F48" i="1" s="1"/>
  <c r="F50" i="1" s="1"/>
  <c r="I529" i="1"/>
  <c r="I556" i="1" s="1"/>
  <c r="I555" i="1"/>
  <c r="I576" i="1"/>
  <c r="L132" i="1"/>
  <c r="I519" i="1"/>
  <c r="G137" i="1"/>
  <c r="G202" i="1"/>
  <c r="F161" i="1"/>
  <c r="I169" i="1"/>
  <c r="I276" i="1"/>
  <c r="H276" i="1"/>
  <c r="G276" i="1"/>
  <c r="G164" i="1"/>
  <c r="G163" i="1"/>
  <c r="H164" i="1"/>
  <c r="H163" i="1"/>
  <c r="I164" i="1"/>
  <c r="I163" i="1"/>
  <c r="H132" i="1"/>
  <c r="M132" i="1"/>
  <c r="M44" i="1" l="1"/>
  <c r="M48" i="1" s="1"/>
  <c r="M50" i="1" s="1"/>
  <c r="H454" i="1"/>
  <c r="H396" i="1"/>
  <c r="H339" i="1"/>
  <c r="H316" i="1"/>
  <c r="H261" i="1"/>
  <c r="H226" i="1"/>
  <c r="H192" i="1"/>
  <c r="L454" i="1"/>
  <c r="L396" i="1"/>
  <c r="L339" i="1"/>
  <c r="L316" i="1"/>
  <c r="L261" i="1"/>
  <c r="L226" i="1"/>
  <c r="L192" i="1"/>
  <c r="M454" i="1"/>
  <c r="M396" i="1"/>
  <c r="M339" i="1"/>
  <c r="M316" i="1"/>
  <c r="M192" i="1"/>
  <c r="M261" i="1"/>
  <c r="M226" i="1"/>
  <c r="M576" i="1"/>
  <c r="H519" i="1"/>
  <c r="H576" i="1"/>
  <c r="L519" i="1"/>
  <c r="L169" i="1"/>
  <c r="L576" i="1"/>
  <c r="M519" i="1"/>
  <c r="G157" i="1"/>
  <c r="G179" i="1"/>
  <c r="H134" i="1"/>
  <c r="G151" i="1"/>
  <c r="G177" i="1"/>
  <c r="G178" i="1"/>
  <c r="F163" i="1"/>
  <c r="F164" i="1"/>
  <c r="M169" i="1"/>
  <c r="H169" i="1"/>
  <c r="G132" i="1"/>
  <c r="N132" i="1"/>
  <c r="M456" i="1" l="1"/>
  <c r="G454" i="1"/>
  <c r="G396" i="1"/>
  <c r="G339" i="1"/>
  <c r="G316" i="1"/>
  <c r="G261" i="1"/>
  <c r="G226" i="1"/>
  <c r="G192" i="1"/>
  <c r="N454" i="1"/>
  <c r="N456" i="1" s="1"/>
  <c r="N396" i="1"/>
  <c r="N339" i="1"/>
  <c r="N316" i="1"/>
  <c r="N261" i="1"/>
  <c r="N226" i="1"/>
  <c r="N192" i="1"/>
  <c r="N576" i="1"/>
  <c r="G519" i="1"/>
  <c r="G576" i="1"/>
  <c r="N519" i="1"/>
  <c r="H137" i="1"/>
  <c r="H202" i="1"/>
  <c r="N169" i="1"/>
  <c r="G169" i="1"/>
  <c r="O132" i="1"/>
  <c r="F132" i="1"/>
  <c r="F454" i="1" l="1"/>
  <c r="F396" i="1"/>
  <c r="F339" i="1"/>
  <c r="F316" i="1"/>
  <c r="F261" i="1"/>
  <c r="F226" i="1"/>
  <c r="F192" i="1"/>
  <c r="O454" i="1"/>
  <c r="O456" i="1" s="1"/>
  <c r="O396" i="1"/>
  <c r="O339" i="1"/>
  <c r="O316" i="1"/>
  <c r="O261" i="1"/>
  <c r="O226" i="1"/>
  <c r="O192" i="1"/>
  <c r="O576" i="1"/>
  <c r="F519" i="1"/>
  <c r="F576" i="1"/>
  <c r="O519" i="1"/>
  <c r="H179" i="1"/>
  <c r="H177" i="1"/>
  <c r="H151" i="1"/>
  <c r="H178" i="1"/>
  <c r="I134" i="1"/>
  <c r="H157" i="1"/>
  <c r="O169" i="1"/>
  <c r="F169" i="1"/>
  <c r="P132" i="1"/>
  <c r="P454" i="1" l="1"/>
  <c r="P456" i="1" s="1"/>
  <c r="P396" i="1"/>
  <c r="P339" i="1"/>
  <c r="P316" i="1"/>
  <c r="P261" i="1"/>
  <c r="P226" i="1"/>
  <c r="P192" i="1"/>
  <c r="P576" i="1"/>
  <c r="P519" i="1"/>
  <c r="I202" i="1"/>
  <c r="I137" i="1"/>
  <c r="P169" i="1"/>
  <c r="Q132" i="1"/>
  <c r="M134" i="1" l="1"/>
  <c r="M140" i="1"/>
  <c r="M137" i="1"/>
  <c r="M138" i="1" s="1"/>
  <c r="Q316" i="1"/>
  <c r="Q226" i="1"/>
  <c r="Q396" i="1"/>
  <c r="Q192" i="1"/>
  <c r="Q454" i="1"/>
  <c r="Q456" i="1" s="1"/>
  <c r="Q339" i="1"/>
  <c r="Q261" i="1"/>
  <c r="Q576" i="1"/>
  <c r="Q519" i="1"/>
  <c r="I151" i="1"/>
  <c r="M151" i="1" s="1"/>
  <c r="I177" i="1"/>
  <c r="M177" i="1" s="1"/>
  <c r="I179" i="1"/>
  <c r="I178" i="1"/>
  <c r="M178" i="1" s="1"/>
  <c r="I157" i="1"/>
  <c r="M157" i="1" s="1"/>
  <c r="Q169" i="1"/>
  <c r="M202" i="1" l="1"/>
  <c r="N202" i="1" s="1"/>
  <c r="M143" i="1"/>
  <c r="O202" i="1"/>
  <c r="N134" i="1"/>
  <c r="N137" i="1" s="1"/>
  <c r="N138" i="1" s="1"/>
  <c r="N157" i="1"/>
  <c r="M156" i="1"/>
  <c r="M159" i="1" s="1"/>
  <c r="N178" i="1"/>
  <c r="M182" i="1"/>
  <c r="M281" i="1" s="1"/>
  <c r="N177" i="1"/>
  <c r="M181" i="1"/>
  <c r="M280" i="1" s="1"/>
  <c r="M154" i="1"/>
  <c r="N151" i="1"/>
  <c r="M144" i="1" l="1"/>
  <c r="N140" i="1"/>
  <c r="N143" i="1" s="1"/>
  <c r="M282" i="1"/>
  <c r="N201" i="1"/>
  <c r="N196" i="1" s="1"/>
  <c r="O134" i="1"/>
  <c r="O137" i="1" s="1"/>
  <c r="O138" i="1" s="1"/>
  <c r="M160" i="1"/>
  <c r="M161" i="1" s="1"/>
  <c r="M264" i="1" s="1"/>
  <c r="M174" i="1" s="1"/>
  <c r="M271" i="1" s="1"/>
  <c r="O157" i="1"/>
  <c r="N156" i="1"/>
  <c r="N159" i="1" s="1"/>
  <c r="P202" i="1"/>
  <c r="O177" i="1"/>
  <c r="N181" i="1"/>
  <c r="N280" i="1" s="1"/>
  <c r="O178" i="1"/>
  <c r="N182" i="1"/>
  <c r="N281" i="1" s="1"/>
  <c r="N154" i="1"/>
  <c r="O151" i="1"/>
  <c r="N144" i="1" l="1"/>
  <c r="O140" i="1"/>
  <c r="O143" i="1" s="1"/>
  <c r="N282" i="1"/>
  <c r="O201" i="1"/>
  <c r="O196" i="1" s="1"/>
  <c r="N160" i="1"/>
  <c r="N161" i="1" s="1"/>
  <c r="N264" i="1" s="1"/>
  <c r="M265" i="1"/>
  <c r="M175" i="1" s="1"/>
  <c r="M272" i="1" s="1"/>
  <c r="M273" i="1" s="1"/>
  <c r="Q202" i="1"/>
  <c r="P157" i="1"/>
  <c r="Q157" i="1" s="1"/>
  <c r="P134" i="1"/>
  <c r="P137" i="1" s="1"/>
  <c r="P138" i="1" s="1"/>
  <c r="P178" i="1"/>
  <c r="O182" i="1"/>
  <c r="O281" i="1" s="1"/>
  <c r="P177" i="1"/>
  <c r="O181" i="1"/>
  <c r="O280" i="1" s="1"/>
  <c r="P151" i="1"/>
  <c r="O154" i="1"/>
  <c r="O144" i="1" l="1"/>
  <c r="O282" i="1"/>
  <c r="P140" i="1"/>
  <c r="P143" i="1" s="1"/>
  <c r="M267" i="1"/>
  <c r="M343" i="1" s="1"/>
  <c r="M413" i="1" s="1"/>
  <c r="M344" i="1"/>
  <c r="M414" i="1" s="1"/>
  <c r="M361" i="1"/>
  <c r="M416" i="1" s="1"/>
  <c r="M408" i="1"/>
  <c r="M383" i="1" s="1"/>
  <c r="N265" i="1"/>
  <c r="N175" i="1" s="1"/>
  <c r="N272" i="1" s="1"/>
  <c r="Q134" i="1"/>
  <c r="Q137" i="1" s="1"/>
  <c r="Q138" i="1" s="1"/>
  <c r="O156" i="1"/>
  <c r="P201" i="1"/>
  <c r="P196" i="1" s="1"/>
  <c r="Q201" i="1"/>
  <c r="Q196" i="1" s="1"/>
  <c r="M213" i="1"/>
  <c r="Q177" i="1"/>
  <c r="Q181" i="1" s="1"/>
  <c r="P181" i="1"/>
  <c r="N174" i="1"/>
  <c r="N271" i="1" s="1"/>
  <c r="Q178" i="1"/>
  <c r="Q182" i="1" s="1"/>
  <c r="P182" i="1"/>
  <c r="P281" i="1" s="1"/>
  <c r="Q151" i="1"/>
  <c r="P154" i="1"/>
  <c r="F230" i="1"/>
  <c r="F233" i="1"/>
  <c r="M233" i="1" s="1"/>
  <c r="N233" i="1" s="1"/>
  <c r="O233" i="1" s="1"/>
  <c r="P233" i="1" s="1"/>
  <c r="Q233" i="1" s="1"/>
  <c r="F235" i="1"/>
  <c r="M235" i="1" s="1"/>
  <c r="N235" i="1" s="1"/>
  <c r="O235" i="1" s="1"/>
  <c r="P235" i="1" s="1"/>
  <c r="Q235" i="1" s="1"/>
  <c r="F297" i="1"/>
  <c r="G230" i="1"/>
  <c r="H230" i="1"/>
  <c r="I230" i="1"/>
  <c r="G233" i="1"/>
  <c r="H233" i="1"/>
  <c r="I233" i="1"/>
  <c r="G235" i="1"/>
  <c r="H235" i="1"/>
  <c r="I235" i="1"/>
  <c r="G297" i="1"/>
  <c r="H297" i="1"/>
  <c r="H298" i="1" s="1"/>
  <c r="H532" i="1" s="1"/>
  <c r="I297" i="1"/>
  <c r="I312" i="1" s="1"/>
  <c r="M198" i="1" l="1"/>
  <c r="M199" i="1" s="1"/>
  <c r="M209" i="1" s="1"/>
  <c r="M363" i="1"/>
  <c r="M418" i="1" s="1"/>
  <c r="M290" i="1"/>
  <c r="M289" i="1"/>
  <c r="G101" i="1"/>
  <c r="N97" i="1"/>
  <c r="N96" i="1"/>
  <c r="G103" i="1"/>
  <c r="G102" i="1"/>
  <c r="N98" i="1"/>
  <c r="N95" i="1"/>
  <c r="M275" i="1"/>
  <c r="M276" i="1" s="1"/>
  <c r="M52" i="1"/>
  <c r="F52" i="1"/>
  <c r="P280" i="1"/>
  <c r="P282" i="1"/>
  <c r="Q140" i="1"/>
  <c r="Q143" i="1" s="1"/>
  <c r="P144" i="1"/>
  <c r="M268" i="1"/>
  <c r="N273" i="1"/>
  <c r="N267" i="1"/>
  <c r="O159" i="1"/>
  <c r="O160" i="1"/>
  <c r="P156" i="1"/>
  <c r="M424" i="1"/>
  <c r="M426" i="1" s="1"/>
  <c r="M215" i="1" a="1"/>
  <c r="M210" i="1"/>
  <c r="M293" i="1"/>
  <c r="Q154" i="1"/>
  <c r="F312" i="1"/>
  <c r="F564" i="1" s="1"/>
  <c r="F571" i="1" s="1"/>
  <c r="F572" i="1" s="1"/>
  <c r="G298" i="1"/>
  <c r="G532" i="1" s="1"/>
  <c r="G312" i="1"/>
  <c r="G564" i="1" s="1"/>
  <c r="G571" i="1" s="1"/>
  <c r="G572" i="1" s="1"/>
  <c r="I304" i="1"/>
  <c r="I307" i="1" s="1"/>
  <c r="I536" i="1" s="1"/>
  <c r="I564" i="1"/>
  <c r="I571" i="1" s="1"/>
  <c r="I572" i="1" s="1"/>
  <c r="H312" i="1"/>
  <c r="H564" i="1" s="1"/>
  <c r="H571" i="1" s="1"/>
  <c r="H572" i="1" s="1"/>
  <c r="H304" i="1"/>
  <c r="G304" i="1"/>
  <c r="I298" i="1"/>
  <c r="I532" i="1" s="1"/>
  <c r="F304" i="1"/>
  <c r="F298" i="1"/>
  <c r="F532" i="1" s="1"/>
  <c r="O161" i="1" l="1"/>
  <c r="Q144" i="1"/>
  <c r="Q282" i="1"/>
  <c r="Q281" i="1"/>
  <c r="Q280" i="1"/>
  <c r="N344" i="1"/>
  <c r="N361" i="1"/>
  <c r="N363" i="1"/>
  <c r="N418" i="1" s="1"/>
  <c r="N408" i="1"/>
  <c r="N383" i="1" s="1"/>
  <c r="N343" i="1"/>
  <c r="N275" i="1"/>
  <c r="N276" i="1" s="1"/>
  <c r="N289" i="1"/>
  <c r="N213" i="1"/>
  <c r="N290" i="1"/>
  <c r="N268" i="1"/>
  <c r="N198" i="1"/>
  <c r="N199" i="1" s="1"/>
  <c r="N209" i="1" s="1"/>
  <c r="N216" i="1" s="1" a="1"/>
  <c r="Q156" i="1"/>
  <c r="E643" i="1"/>
  <c r="P159" i="1"/>
  <c r="P160" i="1"/>
  <c r="O265" i="1"/>
  <c r="O175" i="1" s="1"/>
  <c r="O272" i="1" s="1"/>
  <c r="O264" i="1"/>
  <c r="N215" i="1"/>
  <c r="P215" i="1"/>
  <c r="Q215" i="1"/>
  <c r="O215" i="1"/>
  <c r="M215" i="1"/>
  <c r="M220" i="1" s="1"/>
  <c r="M222" i="1" s="1"/>
  <c r="G309" i="1"/>
  <c r="G310" i="1" s="1"/>
  <c r="G534" i="1" s="1"/>
  <c r="G307" i="1"/>
  <c r="G536" i="1" s="1"/>
  <c r="H309" i="1"/>
  <c r="H310" i="1" s="1"/>
  <c r="H534" i="1" s="1"/>
  <c r="H307" i="1"/>
  <c r="H536" i="1" s="1"/>
  <c r="F309" i="1"/>
  <c r="F310" i="1" s="1"/>
  <c r="F534" i="1" s="1"/>
  <c r="F307" i="1"/>
  <c r="I521" i="1"/>
  <c r="H313" i="1"/>
  <c r="H533" i="1" s="1"/>
  <c r="H521" i="1"/>
  <c r="G313" i="1"/>
  <c r="G533" i="1" s="1"/>
  <c r="G521" i="1"/>
  <c r="F313" i="1"/>
  <c r="F533" i="1" s="1"/>
  <c r="F521" i="1"/>
  <c r="I309" i="1"/>
  <c r="I310" i="1" s="1"/>
  <c r="I534" i="1" s="1"/>
  <c r="I313" i="1"/>
  <c r="I533" i="1" s="1"/>
  <c r="M51" i="1"/>
  <c r="F51" i="1"/>
  <c r="P161" i="1" l="1"/>
  <c r="P264" i="1" s="1"/>
  <c r="N424" i="1"/>
  <c r="N426" i="1" s="1"/>
  <c r="N293" i="1"/>
  <c r="N413" i="1"/>
  <c r="N210" i="1"/>
  <c r="N416" i="1"/>
  <c r="N414" i="1"/>
  <c r="O267" i="1"/>
  <c r="O174" i="1"/>
  <c r="O271" i="1" s="1"/>
  <c r="O273" i="1" s="1"/>
  <c r="Q159" i="1"/>
  <c r="Q160" i="1"/>
  <c r="M223" i="1"/>
  <c r="M283" i="1"/>
  <c r="N216" i="1"/>
  <c r="N220" i="1" s="1"/>
  <c r="N222" i="1" s="1"/>
  <c r="Q216" i="1"/>
  <c r="P216" i="1"/>
  <c r="O216" i="1"/>
  <c r="F536" i="1"/>
  <c r="M11" i="1"/>
  <c r="M129" i="1" s="1"/>
  <c r="F125" i="1" s="1"/>
  <c r="I549" i="1"/>
  <c r="I541" i="1"/>
  <c r="I545" i="1"/>
  <c r="G549" i="1"/>
  <c r="G541" i="1"/>
  <c r="G545" i="1"/>
  <c r="F549" i="1"/>
  <c r="F541" i="1"/>
  <c r="F545" i="1"/>
  <c r="H549" i="1"/>
  <c r="H541" i="1"/>
  <c r="H545" i="1"/>
  <c r="F523" i="1"/>
  <c r="F522" i="1"/>
  <c r="G523" i="1"/>
  <c r="G522" i="1"/>
  <c r="H523" i="1"/>
  <c r="H522" i="1"/>
  <c r="I523" i="1"/>
  <c r="I522" i="1"/>
  <c r="F126" i="1" l="1"/>
  <c r="J351" i="1" s="1"/>
  <c r="L351" i="1" s="1"/>
  <c r="M351" i="1" s="1"/>
  <c r="N351" i="1" s="1"/>
  <c r="O351" i="1" s="1"/>
  <c r="P351" i="1" s="1"/>
  <c r="Q351" i="1" s="1"/>
  <c r="K371" i="1"/>
  <c r="L371" i="1" s="1"/>
  <c r="M371" i="1" s="1"/>
  <c r="N371" i="1" s="1"/>
  <c r="O371" i="1" s="1"/>
  <c r="P371" i="1" s="1"/>
  <c r="Q371" i="1" s="1"/>
  <c r="P265" i="1"/>
  <c r="P175" i="1" s="1"/>
  <c r="P272" i="1" s="1"/>
  <c r="Q161" i="1"/>
  <c r="Q265" i="1" s="1"/>
  <c r="Q175" i="1" s="1"/>
  <c r="Q272" i="1" s="1"/>
  <c r="O408" i="1"/>
  <c r="O383" i="1" s="1"/>
  <c r="O343" i="1"/>
  <c r="O363" i="1"/>
  <c r="O418" i="1" s="1"/>
  <c r="O344" i="1"/>
  <c r="O361" i="1"/>
  <c r="Q264" i="1"/>
  <c r="P267" i="1"/>
  <c r="P174" i="1"/>
  <c r="P271" i="1" s="1"/>
  <c r="P273" i="1" s="1"/>
  <c r="O213" i="1"/>
  <c r="O275" i="1"/>
  <c r="O276" i="1" s="1"/>
  <c r="O198" i="1"/>
  <c r="O199" i="1" s="1"/>
  <c r="O209" i="1" s="1"/>
  <c r="O289" i="1"/>
  <c r="O268" i="1"/>
  <c r="O290" i="1"/>
  <c r="N223" i="1"/>
  <c r="N283" i="1"/>
  <c r="M401" i="1"/>
  <c r="M350" i="1" s="1"/>
  <c r="M286" i="1"/>
  <c r="M295" i="1" s="1"/>
  <c r="G550" i="1"/>
  <c r="G542" i="1"/>
  <c r="G546" i="1"/>
  <c r="I550" i="1"/>
  <c r="I542" i="1"/>
  <c r="I546" i="1"/>
  <c r="I551" i="1"/>
  <c r="I543" i="1"/>
  <c r="I547" i="1"/>
  <c r="G551" i="1"/>
  <c r="G543" i="1"/>
  <c r="G547" i="1"/>
  <c r="F550" i="1"/>
  <c r="F542" i="1"/>
  <c r="F546" i="1"/>
  <c r="F551" i="1"/>
  <c r="F543" i="1"/>
  <c r="F547" i="1"/>
  <c r="H550" i="1"/>
  <c r="H542" i="1"/>
  <c r="H546" i="1"/>
  <c r="H551" i="1"/>
  <c r="H543" i="1"/>
  <c r="H547" i="1"/>
  <c r="O293" i="1" l="1"/>
  <c r="O416" i="1"/>
  <c r="O414" i="1"/>
  <c r="P408" i="1"/>
  <c r="P383" i="1" s="1"/>
  <c r="P363" i="1"/>
  <c r="P418" i="1" s="1"/>
  <c r="P343" i="1"/>
  <c r="M297" i="1"/>
  <c r="M364" i="1"/>
  <c r="M419" i="1" s="1"/>
  <c r="M370" i="1"/>
  <c r="M345" i="1"/>
  <c r="M415" i="1" s="1"/>
  <c r="M362" i="1"/>
  <c r="M417" i="1" s="1"/>
  <c r="O413" i="1"/>
  <c r="P361" i="1"/>
  <c r="P344" i="1"/>
  <c r="P414" i="1" s="1"/>
  <c r="P268" i="1"/>
  <c r="P213" i="1"/>
  <c r="P289" i="1"/>
  <c r="P290" i="1"/>
  <c r="P275" i="1"/>
  <c r="P276" i="1" s="1"/>
  <c r="P198" i="1"/>
  <c r="P199" i="1" s="1"/>
  <c r="P209" i="1" s="1"/>
  <c r="O217" i="1" a="1"/>
  <c r="O424" i="1"/>
  <c r="O426" i="1" s="1"/>
  <c r="O210" i="1"/>
  <c r="Q174" i="1"/>
  <c r="Q271" i="1" s="1"/>
  <c r="Q273" i="1" s="1"/>
  <c r="Q267" i="1"/>
  <c r="N401" i="1"/>
  <c r="N350" i="1" s="1"/>
  <c r="N286" i="1"/>
  <c r="N295" i="1" s="1"/>
  <c r="M298" i="1" l="1"/>
  <c r="M304" i="1"/>
  <c r="M312" i="1"/>
  <c r="M313" i="1" s="1"/>
  <c r="M420" i="1"/>
  <c r="P416" i="1"/>
  <c r="M365" i="1"/>
  <c r="Q361" i="1"/>
  <c r="Q344" i="1"/>
  <c r="Q414" i="1" s="1"/>
  <c r="N297" i="1"/>
  <c r="N362" i="1"/>
  <c r="N370" i="1"/>
  <c r="N364" i="1"/>
  <c r="N419" i="1" s="1"/>
  <c r="N345" i="1"/>
  <c r="Q363" i="1"/>
  <c r="Q418" i="1" s="1"/>
  <c r="Q408" i="1"/>
  <c r="Q383" i="1" s="1"/>
  <c r="Q343" i="1"/>
  <c r="Q413" i="1" s="1"/>
  <c r="P413" i="1"/>
  <c r="O217" i="1"/>
  <c r="O220" i="1" s="1"/>
  <c r="O222" i="1" s="1"/>
  <c r="P217" i="1"/>
  <c r="Q217" i="1"/>
  <c r="P293" i="1"/>
  <c r="P424" i="1"/>
  <c r="P426" i="1" s="1"/>
  <c r="P218" i="1" a="1"/>
  <c r="P210" i="1"/>
  <c r="Q289" i="1"/>
  <c r="Q290" i="1"/>
  <c r="Q268" i="1"/>
  <c r="Q275" i="1"/>
  <c r="Q276" i="1" s="1"/>
  <c r="Q213" i="1"/>
  <c r="E657" i="1"/>
  <c r="Q198" i="1"/>
  <c r="Q199" i="1" s="1"/>
  <c r="Q209" i="1" s="1"/>
  <c r="M53" i="1" l="1"/>
  <c r="F53" i="1"/>
  <c r="N420" i="1"/>
  <c r="N298" i="1"/>
  <c r="N304" i="1"/>
  <c r="N312" i="1"/>
  <c r="N313" i="1" s="1"/>
  <c r="M305" i="1"/>
  <c r="M307" i="1" s="1"/>
  <c r="Q416" i="1"/>
  <c r="N415" i="1"/>
  <c r="Q293" i="1"/>
  <c r="N417" i="1"/>
  <c r="N365" i="1"/>
  <c r="Q210" i="1"/>
  <c r="Q219" i="1" a="1"/>
  <c r="Q219" i="1" s="1"/>
  <c r="Q424" i="1"/>
  <c r="Q426" i="1" s="1"/>
  <c r="Q218" i="1"/>
  <c r="P218" i="1"/>
  <c r="P220" i="1" s="1"/>
  <c r="P222" i="1" s="1"/>
  <c r="O223" i="1"/>
  <c r="O283" i="1"/>
  <c r="E660" i="1"/>
  <c r="E674" i="1" s="1"/>
  <c r="E688" i="1" s="1"/>
  <c r="M309" i="1" l="1"/>
  <c r="N305" i="1"/>
  <c r="N307" i="1" s="1"/>
  <c r="Q220" i="1"/>
  <c r="Q222" i="1" s="1"/>
  <c r="O401" i="1"/>
  <c r="O350" i="1" s="1"/>
  <c r="O286" i="1"/>
  <c r="O295" i="1" s="1"/>
  <c r="P223" i="1"/>
  <c r="P283" i="1"/>
  <c r="N309" i="1" l="1"/>
  <c r="M310" i="1"/>
  <c r="M399" i="1"/>
  <c r="O297" i="1"/>
  <c r="O364" i="1"/>
  <c r="O419" i="1" s="1"/>
  <c r="O362" i="1"/>
  <c r="O370" i="1"/>
  <c r="O345" i="1"/>
  <c r="Q223" i="1"/>
  <c r="Q283" i="1"/>
  <c r="P286" i="1"/>
  <c r="P295" i="1" s="1"/>
  <c r="P401" i="1"/>
  <c r="P350" i="1" s="1"/>
  <c r="O420" i="1" l="1"/>
  <c r="O298" i="1"/>
  <c r="O304" i="1"/>
  <c r="O312" i="1"/>
  <c r="O313" i="1" s="1"/>
  <c r="M421" i="1"/>
  <c r="M449" i="1" s="1"/>
  <c r="M451" i="1" s="1"/>
  <c r="M384" i="1"/>
  <c r="N310" i="1"/>
  <c r="N399" i="1"/>
  <c r="N421" i="1" s="1"/>
  <c r="N449" i="1" s="1"/>
  <c r="O415" i="1"/>
  <c r="P297" i="1"/>
  <c r="P370" i="1"/>
  <c r="P345" i="1"/>
  <c r="P415" i="1" s="1"/>
  <c r="P364" i="1"/>
  <c r="P419" i="1" s="1"/>
  <c r="P362" i="1"/>
  <c r="O417" i="1"/>
  <c r="O365" i="1"/>
  <c r="Q286" i="1"/>
  <c r="Q295" i="1" s="1"/>
  <c r="Q401" i="1"/>
  <c r="Q350" i="1" s="1"/>
  <c r="N384" i="1" l="1"/>
  <c r="P420" i="1"/>
  <c r="O305" i="1"/>
  <c r="O307" i="1" s="1"/>
  <c r="P298" i="1"/>
  <c r="P304" i="1"/>
  <c r="P312" i="1"/>
  <c r="P313" i="1" s="1"/>
  <c r="N450" i="1"/>
  <c r="N451" i="1" s="1"/>
  <c r="M342" i="1"/>
  <c r="M347" i="1" s="1"/>
  <c r="P417" i="1"/>
  <c r="P365" i="1"/>
  <c r="Q297" i="1"/>
  <c r="Q370" i="1"/>
  <c r="Q345" i="1"/>
  <c r="Q415" i="1" s="1"/>
  <c r="Q364" i="1"/>
  <c r="Q419" i="1" s="1"/>
  <c r="Q362" i="1"/>
  <c r="O309" i="1" l="1"/>
  <c r="O399" i="1" s="1"/>
  <c r="O421" i="1" s="1"/>
  <c r="O449" i="1" s="1"/>
  <c r="Q298" i="1"/>
  <c r="Q304" i="1"/>
  <c r="Q312" i="1"/>
  <c r="Q313" i="1" s="1"/>
  <c r="E685" i="1" s="1"/>
  <c r="P305" i="1"/>
  <c r="P307" i="1" s="1"/>
  <c r="O450" i="1"/>
  <c r="N342" i="1"/>
  <c r="N347" i="1" s="1"/>
  <c r="Q420" i="1"/>
  <c r="Q417" i="1"/>
  <c r="Q365" i="1"/>
  <c r="E672" i="1"/>
  <c r="E686" i="1"/>
  <c r="E620" i="1"/>
  <c r="E632" i="1"/>
  <c r="E644" i="1"/>
  <c r="E658" i="1"/>
  <c r="E608" i="1"/>
  <c r="O451" i="1" l="1"/>
  <c r="O342" i="1" s="1"/>
  <c r="O347" i="1" s="1"/>
  <c r="O310" i="1"/>
  <c r="P309" i="1"/>
  <c r="O384" i="1"/>
  <c r="Q305" i="1"/>
  <c r="Q307" i="1" s="1"/>
  <c r="P450" i="1" l="1"/>
  <c r="Q309" i="1"/>
  <c r="P310" i="1"/>
  <c r="P399" i="1"/>
  <c r="P421" i="1" s="1"/>
  <c r="P449" i="1" s="1"/>
  <c r="P384" i="1" l="1"/>
  <c r="P451" i="1"/>
  <c r="Q450" i="1" s="1"/>
  <c r="Q310" i="1"/>
  <c r="Q399" i="1"/>
  <c r="Q421" i="1" s="1"/>
  <c r="Q449" i="1" s="1"/>
  <c r="P342" i="1" l="1"/>
  <c r="P347" i="1" s="1"/>
  <c r="Q451" i="1"/>
  <c r="Q342" i="1" s="1"/>
  <c r="Q347" i="1" s="1"/>
  <c r="Q384" i="1"/>
  <c r="E671" i="1"/>
  <c r="F57" i="1"/>
  <c r="F68" i="1" s="1"/>
  <c r="F71" i="1" s="1"/>
  <c r="M99" i="1" l="1"/>
  <c r="M56" i="1"/>
  <c r="F77" i="1" s="1"/>
  <c r="M57" i="1"/>
  <c r="F59" i="1"/>
  <c r="M100" i="1"/>
  <c r="J353" i="1" l="1"/>
  <c r="L353" i="1" s="1"/>
  <c r="N99" i="1"/>
  <c r="N100" i="1" s="1"/>
  <c r="O96" i="1"/>
  <c r="O98" i="1"/>
  <c r="O95" i="1"/>
  <c r="O97" i="1"/>
  <c r="O99" i="1"/>
  <c r="F84" i="1"/>
  <c r="F75" i="1"/>
  <c r="F85" i="1"/>
  <c r="F82" i="1"/>
  <c r="F86" i="1"/>
  <c r="F83" i="1"/>
  <c r="F87" i="1"/>
  <c r="L355" i="1" l="1"/>
  <c r="L357" i="1" s="1"/>
  <c r="M353" i="1"/>
  <c r="G84" i="1"/>
  <c r="F97" i="1"/>
  <c r="F100" i="1"/>
  <c r="G87" i="1"/>
  <c r="F96" i="1"/>
  <c r="G83" i="1"/>
  <c r="F88" i="1"/>
  <c r="F95" i="1"/>
  <c r="G82" i="1"/>
  <c r="F99" i="1"/>
  <c r="G86" i="1"/>
  <c r="O100" i="1"/>
  <c r="G85" i="1"/>
  <c r="F98" i="1"/>
  <c r="N353" i="1" l="1"/>
  <c r="M355" i="1"/>
  <c r="M357" i="1" s="1"/>
  <c r="G95" i="1"/>
  <c r="K372" i="1"/>
  <c r="L372" i="1" s="1"/>
  <c r="F104" i="1"/>
  <c r="F105" i="1" s="1"/>
  <c r="G100" i="1"/>
  <c r="K377" i="1"/>
  <c r="L377" i="1" s="1"/>
  <c r="M377" i="1" s="1"/>
  <c r="G96" i="1"/>
  <c r="K373" i="1"/>
  <c r="L373" i="1" s="1"/>
  <c r="K374" i="1"/>
  <c r="L374" i="1" s="1"/>
  <c r="G97" i="1"/>
  <c r="G99" i="1"/>
  <c r="K376" i="1"/>
  <c r="L376" i="1" s="1"/>
  <c r="K375" i="1"/>
  <c r="L375" i="1" s="1"/>
  <c r="G98" i="1"/>
  <c r="G88" i="1"/>
  <c r="H99" i="1" l="1"/>
  <c r="H100" i="1"/>
  <c r="H98" i="1"/>
  <c r="O353" i="1"/>
  <c r="N355" i="1"/>
  <c r="N357" i="1" s="1"/>
  <c r="G110" i="1"/>
  <c r="G104" i="1"/>
  <c r="G105" i="1" s="1"/>
  <c r="K388" i="1"/>
  <c r="L388" i="1" s="1"/>
  <c r="H104" i="1"/>
  <c r="G108" i="1"/>
  <c r="L378" i="1"/>
  <c r="L380" i="1" s="1"/>
  <c r="H103" i="1"/>
  <c r="H101" i="1"/>
  <c r="H102" i="1"/>
  <c r="N377" i="1"/>
  <c r="M378" i="1"/>
  <c r="M380" i="1" s="1"/>
  <c r="H95" i="1"/>
  <c r="H97" i="1"/>
  <c r="H96" i="1"/>
  <c r="G111" i="1" l="1"/>
  <c r="P353" i="1"/>
  <c r="O355" i="1"/>
  <c r="O357" i="1" s="1"/>
  <c r="N378" i="1"/>
  <c r="N380" i="1" s="1"/>
  <c r="O377" i="1"/>
  <c r="L389" i="1"/>
  <c r="L391" i="1" s="1"/>
  <c r="L393" i="1" s="1"/>
  <c r="M388" i="1"/>
  <c r="H105" i="1"/>
  <c r="P355" i="1" l="1"/>
  <c r="P357" i="1" s="1"/>
  <c r="Q353" i="1"/>
  <c r="Q355" i="1" s="1"/>
  <c r="Q357" i="1" s="1"/>
  <c r="M389" i="1"/>
  <c r="M391" i="1" s="1"/>
  <c r="M393" i="1" s="1"/>
  <c r="N388" i="1"/>
  <c r="O378" i="1"/>
  <c r="O380" i="1" s="1"/>
  <c r="P377" i="1"/>
  <c r="P378" i="1" l="1"/>
  <c r="P380" i="1" s="1"/>
  <c r="Q377" i="1"/>
  <c r="Q378" i="1" s="1"/>
  <c r="Q380" i="1" s="1"/>
  <c r="N389" i="1"/>
  <c r="N391" i="1" s="1"/>
  <c r="N393" i="1" s="1"/>
  <c r="O388" i="1"/>
  <c r="O389" i="1" l="1"/>
  <c r="O391" i="1" s="1"/>
  <c r="O393" i="1" s="1"/>
  <c r="P388" i="1"/>
  <c r="Q388" i="1" l="1"/>
  <c r="Q389" i="1" s="1"/>
  <c r="Q391" i="1" s="1"/>
  <c r="Q393" i="1" s="1"/>
  <c r="P389" i="1"/>
  <c r="P391" i="1" s="1"/>
  <c r="P393" i="1" s="1"/>
</calcChain>
</file>

<file path=xl/comments1.xml><?xml version="1.0" encoding="utf-8"?>
<comments xmlns="http://schemas.openxmlformats.org/spreadsheetml/2006/main">
  <authors>
    <author>BIWS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merger docs.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lawsuit documents, Goldman received a "$13.0 million fee."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Backed into this based on the $63 million total fee amount disclosed in the filings and ~$27 million of financing fees. Hard-coded to avoid circular references if they're turned off.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Higher fees in this case because Apollo also received a $7 million expense reimbursement.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Extremely unlikely that the company has or can use any excess cash to fund the deal - distributed a lot as dividends in past years.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Undrawn initially.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Backed into this based on the $150 million Revolver used in real life.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This adds up to more than 100% because of the Revolver… not an issue since the other debt amounts are scaled down if the Revolver is actually drawn.</t>
        </r>
      </text>
    </comment>
    <comment ref="L11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final post-transaction value of $718 million from the filings.</t>
        </r>
      </text>
    </comment>
    <comment ref="L123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Backing into this based on disclosure for value of CEC trade name in filings.</t>
        </r>
      </text>
    </comment>
    <comment ref="M12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Favorable lease agreements from the filings.</t>
        </r>
      </text>
    </comment>
    <comment ref="L12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Favorable lease agreements from the filings.</t>
        </r>
      </text>
    </comment>
    <comment ref="F194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Calculated based on weighted average of PP&amp;E components on pg. 60 and useful life of each component.</t>
        </r>
      </text>
    </comment>
    <comment ref="M201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pg. 40 of 10-K.</t>
        </r>
      </text>
    </comment>
    <comment ref="M20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pg. 40 of 10-K.</t>
        </r>
      </text>
    </comment>
    <comment ref="M204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pg. 40 of 10-K.</t>
        </r>
      </text>
    </comment>
    <comment ref="M20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pg. 40 of 10-K.</t>
        </r>
      </text>
    </comment>
    <comment ref="M207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Company's estimates on pg. 40 of 10-K would imply ~1.5%, but we disagree and are using a higher %.</t>
        </r>
      </text>
    </comment>
    <comment ref="M21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Gradually declines over time as existing assets are depreciated away and hit end of useful lives.</t>
        </r>
      </text>
    </comment>
    <comment ref="I243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pg. 63 of 10-K.</t>
        </r>
      </text>
    </comment>
    <comment ref="I244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pg. 63 of 10-K.</t>
        </r>
      </text>
    </comment>
    <comment ref="F26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From older filings.</t>
        </r>
      </text>
    </comment>
    <comment ref="M460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schedule on pg. 42 of 10-K.</t>
        </r>
      </text>
    </comment>
    <comment ref="N460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schedule on pg. 42 of 10-K.</t>
        </r>
      </text>
    </comment>
    <comment ref="O460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schedule on pg. 42 of 10-K.</t>
        </r>
      </text>
    </comment>
    <comment ref="M461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schedule on pg. 42 of 10-K.</t>
        </r>
      </text>
    </comment>
    <comment ref="N461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schedule on pg. 42 of 10-K.</t>
        </r>
      </text>
    </comment>
    <comment ref="O461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schedule on pg. 42 of 10-K.</t>
        </r>
      </text>
    </comment>
    <comment ref="P461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schedule on pg. 42 of 10-K.</t>
        </r>
      </text>
    </comment>
    <comment ref="Q461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schedule on pg. 42 of 10-K.</t>
        </r>
      </text>
    </comment>
  </commentList>
</comments>
</file>

<file path=xl/sharedStrings.xml><?xml version="1.0" encoding="utf-8"?>
<sst xmlns="http://schemas.openxmlformats.org/spreadsheetml/2006/main" count="880" uniqueCount="473">
  <si>
    <t>Units</t>
  </si>
  <si>
    <t>Company Name:</t>
  </si>
  <si>
    <t>Exercise</t>
  </si>
  <si>
    <t>Less: Cash &amp; Cash-Equivalents:</t>
  </si>
  <si>
    <t>Enterprise Value:</t>
  </si>
  <si>
    <t>Historical</t>
  </si>
  <si>
    <t>Last Historical Year:</t>
  </si>
  <si>
    <t>CEC Entertainment, Inc.</t>
  </si>
  <si>
    <t># of Ending Stores:</t>
  </si>
  <si>
    <t># of Beginning Stores:</t>
  </si>
  <si>
    <t>Projected</t>
  </si>
  <si>
    <t>Growth Rate in # of Stores:</t>
  </si>
  <si>
    <t># of Comparable Stores:</t>
  </si>
  <si>
    <t>% of Total Ending Stores:</t>
  </si>
  <si>
    <t>$ M</t>
  </si>
  <si>
    <t>Total Sales, Comparable Stores:</t>
  </si>
  <si>
    <t>$ Thousands</t>
  </si>
  <si>
    <t>Cost of Goods Sold (COGS):</t>
  </si>
  <si>
    <t>Total Revenue:</t>
  </si>
  <si>
    <t>Franchising Fees and Royalties:</t>
  </si>
  <si>
    <t>Revenue:</t>
  </si>
  <si>
    <t>Total COGS:</t>
  </si>
  <si>
    <t>Gross Profit:</t>
  </si>
  <si>
    <t>Cost of Food and Beverage:</t>
  </si>
  <si>
    <t># Stores</t>
  </si>
  <si>
    <t>Gross Margin:</t>
  </si>
  <si>
    <t>Total Sales, New Stores:</t>
  </si>
  <si>
    <t>Total Store Sales:</t>
  </si>
  <si>
    <t>%</t>
  </si>
  <si>
    <t>Labor Expenses:</t>
  </si>
  <si>
    <t>Depreciation and Amortization:</t>
  </si>
  <si>
    <t>Rent Expense:</t>
  </si>
  <si>
    <t>Revenue Growth:</t>
  </si>
  <si>
    <t>Other Store Operating Expenses:</t>
  </si>
  <si>
    <t>Other Costs and Expenses:</t>
  </si>
  <si>
    <t>Asset Impairments:</t>
  </si>
  <si>
    <t>Total Store Operating Costs:</t>
  </si>
  <si>
    <t>Total Operating Expenses:</t>
  </si>
  <si>
    <t>Operating Income (EBIT):</t>
  </si>
  <si>
    <t>Operating (EBIT) Margin:</t>
  </si>
  <si>
    <t>Revenue Assumptions:</t>
  </si>
  <si>
    <t>Expense Assumptions:</t>
  </si>
  <si>
    <t>Net Interest Expense:</t>
  </si>
  <si>
    <t>Pre-Tax Income:</t>
  </si>
  <si>
    <t>Operating Expenses:</t>
  </si>
  <si>
    <t>Net Income:</t>
  </si>
  <si>
    <t>Effective Tax Rate:</t>
  </si>
  <si>
    <t/>
  </si>
  <si>
    <t>Balance Sheet:</t>
  </si>
  <si>
    <t>ASSETS:</t>
  </si>
  <si>
    <t>LIABILITIES AND EQUITY:</t>
  </si>
  <si>
    <t>Current Assets:</t>
  </si>
  <si>
    <t>Total Current Assets:</t>
  </si>
  <si>
    <t>Total Assets:</t>
  </si>
  <si>
    <t>Property and Equipment, Net:</t>
  </si>
  <si>
    <t>Other Noncurrent Assets:</t>
  </si>
  <si>
    <t>Cash and Cash Equivalents:</t>
  </si>
  <si>
    <t>Accounts Receivable:</t>
  </si>
  <si>
    <t>Inventories:</t>
  </si>
  <si>
    <t>Prepaid Expenses:</t>
  </si>
  <si>
    <t>Accounts Payable:</t>
  </si>
  <si>
    <t>Accrued Expenses:</t>
  </si>
  <si>
    <t>Unearned Revenues:</t>
  </si>
  <si>
    <t>Revolver:</t>
  </si>
  <si>
    <t>Deferred Tax Liability:</t>
  </si>
  <si>
    <t>Other Noncurrent Liabilities:</t>
  </si>
  <si>
    <t>Total Liabilities:</t>
  </si>
  <si>
    <t>Equity:</t>
  </si>
  <si>
    <t>Common Stock &amp; APIC:</t>
  </si>
  <si>
    <t>Retained Earnings:</t>
  </si>
  <si>
    <t>Treasury Stock:</t>
  </si>
  <si>
    <t>Total Equity:</t>
  </si>
  <si>
    <t>Total Liabilities and Equity:</t>
  </si>
  <si>
    <t>Balance Sheet Check:</t>
  </si>
  <si>
    <t>CapEx - Existing Stores:</t>
  </si>
  <si>
    <t>CapEx - New Stores:</t>
  </si>
  <si>
    <t>Total CapEx:</t>
  </si>
  <si>
    <t>Transaction Assumptions:</t>
  </si>
  <si>
    <t>Income Statement:</t>
  </si>
  <si>
    <t>CapEx per Existing Store:</t>
  </si>
  <si>
    <t>CapEx per New Store:</t>
  </si>
  <si>
    <t>% of Total Existing Stores:</t>
  </si>
  <si>
    <t>General CapEx % Revenue:</t>
  </si>
  <si>
    <t>Average Useful Life of PP&amp;E:</t>
  </si>
  <si>
    <t># Years</t>
  </si>
  <si>
    <t>Depreciation of Existing Assets:</t>
  </si>
  <si>
    <t>CapEx and Depreciation Schedule:</t>
  </si>
  <si>
    <t>Total Depreciation on New CapEx:</t>
  </si>
  <si>
    <t>Total Depreciation:</t>
  </si>
  <si>
    <t>% Revenue:</t>
  </si>
  <si>
    <t>Cash Flow Statement:</t>
  </si>
  <si>
    <t>Accounts Receivable % Revenue:</t>
  </si>
  <si>
    <t>Inventories % COGS:</t>
  </si>
  <si>
    <t>Prepaid Expenses % OpEx:</t>
  </si>
  <si>
    <t>Accounts Payable % COGS:</t>
  </si>
  <si>
    <t>Accrued Expenses % OpEx:</t>
  </si>
  <si>
    <t>Unearned Revenues % Revenue:</t>
  </si>
  <si>
    <t>CASH FLOWS FROM OPERATING ACTIVITIES:</t>
  </si>
  <si>
    <t>CASH FLOWS FROM INVESTING ACTIVITIES:</t>
  </si>
  <si>
    <t>CASH FLOWS FROM FINANCING ACTIVITIES:</t>
  </si>
  <si>
    <t>Adjustments for Non-Cash Charges:</t>
  </si>
  <si>
    <t>Changes in Operating Assets and Liabilities:</t>
  </si>
  <si>
    <t>Net Cash Provided by Operating Activities:</t>
  </si>
  <si>
    <t>Other Investing Activities:</t>
  </si>
  <si>
    <t>Net Cash Used in Investing Activities:</t>
  </si>
  <si>
    <t>Revolver Borrowing / (Repayments):</t>
  </si>
  <si>
    <t>Dividends Paid:</t>
  </si>
  <si>
    <t>Purchases of Treasury Stock:</t>
  </si>
  <si>
    <t>Net Cash Used in Financing Activities:</t>
  </si>
  <si>
    <t>Effect of FX Rate Changes on Cash:</t>
  </si>
  <si>
    <t>Beginning Cash:</t>
  </si>
  <si>
    <t>Ending Cash:</t>
  </si>
  <si>
    <t>Change in Deferred Tax Asset:</t>
  </si>
  <si>
    <t>Funds Required:</t>
  </si>
  <si>
    <t>Equity Purchase Price:</t>
  </si>
  <si>
    <t>Plus: Debt Refinanced:</t>
  </si>
  <si>
    <t>Less: Excess Cash:</t>
  </si>
  <si>
    <t>%:</t>
  </si>
  <si>
    <t>Total Debt Raised:</t>
  </si>
  <si>
    <t>Debt Assumptions:</t>
  </si>
  <si>
    <t>Debt Used:</t>
  </si>
  <si>
    <t>Plus: Noncontrolling Interests:</t>
  </si>
  <si>
    <t>Plus: Preferred Stock:</t>
  </si>
  <si>
    <t>Number</t>
  </si>
  <si>
    <t>Minimum Cash Balance:</t>
  </si>
  <si>
    <t>Advisory Fees:</t>
  </si>
  <si>
    <t>LIBOR Units:</t>
  </si>
  <si>
    <t>LIBOR</t>
  </si>
  <si>
    <t>Floor:</t>
  </si>
  <si>
    <t>Plus: Capital Leases:</t>
  </si>
  <si>
    <t>Sources:</t>
  </si>
  <si>
    <t>Uses:</t>
  </si>
  <si>
    <t>Equity Value of Company:</t>
  </si>
  <si>
    <t>Refinance Existing Debt:</t>
  </si>
  <si>
    <t>Assume Existing Debt:</t>
  </si>
  <si>
    <t>Capitalized Financing Fees:</t>
  </si>
  <si>
    <t>Total Uses:</t>
  </si>
  <si>
    <t>Total Sources:</t>
  </si>
  <si>
    <t>Sources &amp; Uses Schedule:</t>
  </si>
  <si>
    <t>Excess Cash:</t>
  </si>
  <si>
    <t>Goodwill Calculation:</t>
  </si>
  <si>
    <t>Fixed Asset Write-Up:</t>
  </si>
  <si>
    <t>Plus: Write-Off of Existing Goodwill:</t>
  </si>
  <si>
    <t>Depreciation Period (Years):</t>
  </si>
  <si>
    <t>Total Allocable Purchase Premium:</t>
  </si>
  <si>
    <t>Intangible Asset Write-Up:</t>
  </si>
  <si>
    <t>Less: Write-Up of PP&amp;E:</t>
  </si>
  <si>
    <t>Less: Write-Up of Intangibles:</t>
  </si>
  <si>
    <t>Plus: New Deferred Tax Liability:</t>
  </si>
  <si>
    <t>Amortization Period (Years):</t>
  </si>
  <si>
    <t>Total Goodwill Created:</t>
  </si>
  <si>
    <t>New Deferred Tax Liability:</t>
  </si>
  <si>
    <t>Goodwill Creation &amp; Purchase Price Allocation:</t>
  </si>
  <si>
    <t>Term Loan - A:</t>
  </si>
  <si>
    <t>Term Loan - B:</t>
  </si>
  <si>
    <t>Subordinated Note:</t>
  </si>
  <si>
    <t>Mezzanine:</t>
  </si>
  <si>
    <t>Senior Notes:</t>
  </si>
  <si>
    <t>Debt &amp; Interest Schedule:</t>
  </si>
  <si>
    <t>LIBOR Curve:</t>
  </si>
  <si>
    <t>Interest Rate Assumptions:</t>
  </si>
  <si>
    <t>Fixed</t>
  </si>
  <si>
    <t>Sources of Funds:</t>
  </si>
  <si>
    <t>Beginning Cash Balance:</t>
  </si>
  <si>
    <t>Less: Minimum Cash Balance:</t>
  </si>
  <si>
    <t>Subtotal Before Revolver:</t>
  </si>
  <si>
    <t>Revolver Borrowing Required:</t>
  </si>
  <si>
    <t>Total Sources of Funds:</t>
  </si>
  <si>
    <t>Undrawn Revolver Commitment Fee:</t>
  </si>
  <si>
    <t>Uses of Funds:</t>
  </si>
  <si>
    <t>Mandatory Debt Repayment:</t>
  </si>
  <si>
    <t>Mandatory Repayment Total:</t>
  </si>
  <si>
    <t>Optional Debt Repayment:</t>
  </si>
  <si>
    <t>Optional Repayment Total:</t>
  </si>
  <si>
    <t xml:space="preserve">Debit </t>
  </si>
  <si>
    <t>Credit</t>
  </si>
  <si>
    <t>Transaction Adjustments</t>
  </si>
  <si>
    <t>Revolver Commitment from Bank:</t>
  </si>
  <si>
    <t>Interest Expense Calculations:</t>
  </si>
  <si>
    <t>Total Uses of Funds:</t>
  </si>
  <si>
    <t>BALANCE CHECK</t>
  </si>
  <si>
    <t>Total Cash Flow Used to Repay Debt:</t>
  </si>
  <si>
    <t>Goodwill:</t>
  </si>
  <si>
    <t>Other Intangible Assets:</t>
  </si>
  <si>
    <t>Depreciation of PP&amp;E Write-Up:</t>
  </si>
  <si>
    <t>New Intangibles Amortization:</t>
  </si>
  <si>
    <t>Amortization of Financing Fees:</t>
  </si>
  <si>
    <t>Sponsor Common Equity:</t>
  </si>
  <si>
    <t>Year Number:</t>
  </si>
  <si>
    <t>Depreciation &amp; Amortization:</t>
  </si>
  <si>
    <t>EBITDA:</t>
  </si>
  <si>
    <t>Total Debt / EBITDA:</t>
  </si>
  <si>
    <t>Net Debt / EBITDA:</t>
  </si>
  <si>
    <t>EBITDA / Net Interest Expense:</t>
  </si>
  <si>
    <t>Total Debt / Equity:</t>
  </si>
  <si>
    <t>Total Debt / Capital:</t>
  </si>
  <si>
    <t>Cumulative Debt Paydown:</t>
  </si>
  <si>
    <t>Stock-Based Compensation:</t>
  </si>
  <si>
    <t>Total Capital:</t>
  </si>
  <si>
    <t>EBITDA Exit Multiple:</t>
  </si>
  <si>
    <t>Exit Enterprise Value:</t>
  </si>
  <si>
    <t>Less: Net Debt:</t>
  </si>
  <si>
    <t>Initial Investment:</t>
  </si>
  <si>
    <t>Dividends:</t>
  </si>
  <si>
    <t>Total Cash Flows:</t>
  </si>
  <si>
    <t>x</t>
  </si>
  <si>
    <t>Company Type:</t>
  </si>
  <si>
    <t>Public</t>
  </si>
  <si>
    <t>Basic Shares Outstanding:</t>
  </si>
  <si>
    <t>Rollover Share Count:</t>
  </si>
  <si>
    <t>Allow Circular References?</t>
  </si>
  <si>
    <t>Refinance Target Company's Debt?</t>
  </si>
  <si>
    <t>Baseline LTM EBITDA Exit Multiple:</t>
  </si>
  <si>
    <t>Target - "Undisturbed" Share Price (USD):</t>
  </si>
  <si>
    <t>Premium Paid to Target's Share Price:</t>
  </si>
  <si>
    <t>Offer Price per Share (USD):</t>
  </si>
  <si>
    <t>Tax Rate:</t>
  </si>
  <si>
    <t>Units:</t>
  </si>
  <si>
    <t>Company Valuation @ Current Share Price:</t>
  </si>
  <si>
    <t>Company Valuation @ Offer Price:</t>
  </si>
  <si>
    <t>Diluted Shares (Millions) @ Current Share Price:</t>
  </si>
  <si>
    <t>Diluted Shares (Millions) @ Offer Price:</t>
  </si>
  <si>
    <t>Options - Treasury Stock Method @ Current Share Price:</t>
  </si>
  <si>
    <t>Options - Treasury Stock Method @ Offer Price:</t>
  </si>
  <si>
    <t>Name:</t>
  </si>
  <si>
    <t>(Millions):</t>
  </si>
  <si>
    <t>Price:</t>
  </si>
  <si>
    <t>Dilution:</t>
  </si>
  <si>
    <t>Options A</t>
  </si>
  <si>
    <t>Options B</t>
  </si>
  <si>
    <t>Total:</t>
  </si>
  <si>
    <t>Equity Value:</t>
  </si>
  <si>
    <t>Purchase Equity Value:</t>
  </si>
  <si>
    <t>Less: Equity Investments:</t>
  </si>
  <si>
    <t>Less: Other Non-Core Assets, Net:</t>
  </si>
  <si>
    <t>Less: Net Operating Losses:</t>
  </si>
  <si>
    <t>Plus: Total Debt:</t>
  </si>
  <si>
    <t>Plus: Unfunded Pension Obligations:</t>
  </si>
  <si>
    <t>Plus: Restructuring &amp; Other Liabilities:</t>
  </si>
  <si>
    <t>Purchase Enterprise Value:</t>
  </si>
  <si>
    <t>Valuation of Target:</t>
  </si>
  <si>
    <t>$ in Millions</t>
  </si>
  <si>
    <t>Valuation of Target at Purchase Price:</t>
  </si>
  <si>
    <t>Current Equity Value:</t>
  </si>
  <si>
    <t>Current Enterprise Value:</t>
  </si>
  <si>
    <t>LTM EV / Revenue:</t>
  </si>
  <si>
    <t>LTM EV / EBITDA:</t>
  </si>
  <si>
    <t>Forward EV / Revenue:</t>
  </si>
  <si>
    <t>Forward EV / EBITDA:</t>
  </si>
  <si>
    <t>Fees and Other Assumptions:</t>
  </si>
  <si>
    <t>Legal and Other Fees:</t>
  </si>
  <si>
    <t>Transaction Funding:</t>
  </si>
  <si>
    <t>% Used:</t>
  </si>
  <si>
    <t>Equity Used:</t>
  </si>
  <si>
    <t>Less: Equity Rollover:</t>
  </si>
  <si>
    <t>Plus: Write-Off of Existing DTA:</t>
  </si>
  <si>
    <t>Less: Write-Down of Existing DTL:</t>
  </si>
  <si>
    <t>PP&amp;E Write-Up:</t>
  </si>
  <si>
    <t>Yearly Depreciation Expense:</t>
  </si>
  <si>
    <t>Excess Purchase Price to Allocate:</t>
  </si>
  <si>
    <t>Indefinite-Lived Intangibles:</t>
  </si>
  <si>
    <t>Definite-Lived Intangibles:</t>
  </si>
  <si>
    <t>Yearly Amortization Expense:</t>
  </si>
  <si>
    <t>Labor Expenses per Store - Base:</t>
  </si>
  <si>
    <t>Other OpEx per Store - Base:</t>
  </si>
  <si>
    <t>Rent Expense per Store - Base:</t>
  </si>
  <si>
    <t>Amortization Period:</t>
  </si>
  <si>
    <t>Annual Fee Amortization:</t>
  </si>
  <si>
    <t>Maximum Cash Available to Fund Deal:</t>
  </si>
  <si>
    <t>% or # Years:</t>
  </si>
  <si>
    <t>Total Funds Required:</t>
  </si>
  <si>
    <t>Plus: Transaction and Financing Fees:</t>
  </si>
  <si>
    <t>Debt Tranche:</t>
  </si>
  <si>
    <t>Non-Revolver Debt Total:</t>
  </si>
  <si>
    <t>Revolver Drawn?</t>
  </si>
  <si>
    <t>Advisory, Legal &amp; One-Time Fees:</t>
  </si>
  <si>
    <t>Equity Rollover:</t>
  </si>
  <si>
    <t>x EBITDA</t>
  </si>
  <si>
    <t>% Total:</t>
  </si>
  <si>
    <t>Ownership Percentages:</t>
  </si>
  <si>
    <t>Pre-Deal:</t>
  </si>
  <si>
    <t>Post-Deal:</t>
  </si>
  <si>
    <t>Existing Investor Ownership %:</t>
  </si>
  <si>
    <t>New Investor Ownership %:</t>
  </si>
  <si>
    <t>Rollover Investor Ownership %:</t>
  </si>
  <si>
    <t>Post-Toggle Total CapEx:</t>
  </si>
  <si>
    <t>CapEx - Corporate &amp; General:</t>
  </si>
  <si>
    <t>New CapEx Depreciation - Year 1:</t>
  </si>
  <si>
    <t>New CapEx Depreciation - Year 2:</t>
  </si>
  <si>
    <t>New CapEx Depreciation - Year 3:</t>
  </si>
  <si>
    <t>New CapEx Depreciation - Year 4:</t>
  </si>
  <si>
    <t>New CapEx Depreciation - Year 5:</t>
  </si>
  <si>
    <t>Noncurrent Assets:</t>
  </si>
  <si>
    <t>Total Noncurrent Assets:</t>
  </si>
  <si>
    <t>Deferred Tax Assets:</t>
  </si>
  <si>
    <t>Current Liabilities, Excluding Debt:</t>
  </si>
  <si>
    <t>Total Current Liabilities, Excl. Debt:</t>
  </si>
  <si>
    <t>General and Administrative:</t>
  </si>
  <si>
    <t>Advertising:</t>
  </si>
  <si>
    <t>Key Metrics and Ratios:</t>
  </si>
  <si>
    <t>Returns Calculations:</t>
  </si>
  <si>
    <t>Stores Renovated or Expanded:</t>
  </si>
  <si>
    <t>Entertainment and Merchandise:</t>
  </si>
  <si>
    <t>Food and Beverage:</t>
  </si>
  <si>
    <t>Less: Seller's Common Book Value:</t>
  </si>
  <si>
    <t>Accum. Other Compr. Income:</t>
  </si>
  <si>
    <t>Food and Beverage % Store Sales:</t>
  </si>
  <si>
    <t>Noncurrent Liabilities, Including All Debt:</t>
  </si>
  <si>
    <t>Total Noncurrent Liabilities + Debt:</t>
  </si>
  <si>
    <t>Existing Debt:</t>
  </si>
  <si>
    <t>Accrual of PIK Interest:</t>
  </si>
  <si>
    <t>Change in Deferred Tax Liability:</t>
  </si>
  <si>
    <t>Net Change in Cash:</t>
  </si>
  <si>
    <t>Other Non-Cash Items:</t>
  </si>
  <si>
    <t>Payments on Capital Leases:</t>
  </si>
  <si>
    <t>Other Current Liabilities:</t>
  </si>
  <si>
    <t>Store Operating Costs:</t>
  </si>
  <si>
    <t>Other Current Liabilities % OpEx:</t>
  </si>
  <si>
    <t>Total Other Costs and Expenses:</t>
  </si>
  <si>
    <t>Tax Provision / (Benefit):</t>
  </si>
  <si>
    <t>Balance Sheet and Cash Flow Statement:</t>
  </si>
  <si>
    <t>Post-Toggle Labor Expenses per Store:</t>
  </si>
  <si>
    <t>Post-Toggle Rent Expense per Store:</t>
  </si>
  <si>
    <t>Post-Toggle Other OpEx per Store:</t>
  </si>
  <si>
    <t>Advertising Expense % Revenue:</t>
  </si>
  <si>
    <t>G&amp;A Expense % Revenue:</t>
  </si>
  <si>
    <t>Goodwill Impairment:</t>
  </si>
  <si>
    <t>Other Noncurrent Liabilities % OpEx:</t>
  </si>
  <si>
    <t>Other Financing Items:</t>
  </si>
  <si>
    <t>Interest:</t>
  </si>
  <si>
    <t>Excess Cash Generated on BS:</t>
  </si>
  <si>
    <t>Planned Repayments of Existing Debt:</t>
  </si>
  <si>
    <t>Total Capital Leases:</t>
  </si>
  <si>
    <t>Planned Interest on Existing Debt:</t>
  </si>
  <si>
    <t>Purchases of Property &amp; Equipment:</t>
  </si>
  <si>
    <t>Total Capital Lease Payments:</t>
  </si>
  <si>
    <t>Less: Interest Portion:</t>
  </si>
  <si>
    <t>Total Capital Lease Expense:</t>
  </si>
  <si>
    <t>Capital Lease Principal Payments:</t>
  </si>
  <si>
    <t>Amounts Representing Interest:</t>
  </si>
  <si>
    <t>Capital Lease Payments in Projections:</t>
  </si>
  <si>
    <t>Interest Payments in Projections:</t>
  </si>
  <si>
    <t>Capital Lease Interest:</t>
  </si>
  <si>
    <t>Spread:</t>
  </si>
  <si>
    <t>Returns to Investors:</t>
  </si>
  <si>
    <t>EBITDA - CapEx:</t>
  </si>
  <si>
    <t>EBITDA - CapEx +/- Change in WC:</t>
  </si>
  <si>
    <t>Deferred Tax and NOL Schedule:</t>
  </si>
  <si>
    <t>Beginning NOL Balance:</t>
  </si>
  <si>
    <t>Plus: NOLs Created:</t>
  </si>
  <si>
    <t>Less: NOLs Used:</t>
  </si>
  <si>
    <t>Ending NOL Balance:</t>
  </si>
  <si>
    <t>NOL-Adjusted Pre-Tax Income:</t>
  </si>
  <si>
    <t>Cash Taxes Payable:</t>
  </si>
  <si>
    <t>Increase / (Decrease) in DTA:</t>
  </si>
  <si>
    <t>Plus: New Intangibles Amortization:</t>
  </si>
  <si>
    <t>Pre-NOL Taxable Income:</t>
  </si>
  <si>
    <t>Initial Net Operating Losses (NOLs):</t>
  </si>
  <si>
    <t>Increase / (Decrease) in DTL:</t>
  </si>
  <si>
    <t>Net Capital:</t>
  </si>
  <si>
    <t>Operating Margin:</t>
  </si>
  <si>
    <t>EBITDA Margin:</t>
  </si>
  <si>
    <t>Net Margin:</t>
  </si>
  <si>
    <t>D&amp;A % Revenue:</t>
  </si>
  <si>
    <t>CapEx % Revenue:</t>
  </si>
  <si>
    <t>Total Debt / (EBITDA - CapEx):</t>
  </si>
  <si>
    <t>Total Debt / (EBITDA - CapEx +/- Change in WC):</t>
  </si>
  <si>
    <t>Net Debt / (EBITDA - CapEx):</t>
  </si>
  <si>
    <t>Net Debt / (EBITDA - CapEx +/- Change in WC):</t>
  </si>
  <si>
    <t>(EBITDA - CapEx) / Net Interest Expense:</t>
  </si>
  <si>
    <t>Net Debt / Equity:</t>
  </si>
  <si>
    <t>Net Debt / Net Capital:</t>
  </si>
  <si>
    <t>Debt Service Coverage Ratio:</t>
  </si>
  <si>
    <t>Free Cash Flow Conversion Analysis:</t>
  </si>
  <si>
    <t>Less: CapEx:</t>
  </si>
  <si>
    <t>Less: Net Interest Expense:</t>
  </si>
  <si>
    <t>Less: Taxes:</t>
  </si>
  <si>
    <t>Plus: Stock-Based Compensation:</t>
  </si>
  <si>
    <t>Plus/Less: Other Non-Cash Items:</t>
  </si>
  <si>
    <t>Plus/Less: Change in WC:</t>
  </si>
  <si>
    <t>Free Cash Flow:</t>
  </si>
  <si>
    <t>FCF Conversion %:</t>
  </si>
  <si>
    <t>FCF Yield %:</t>
  </si>
  <si>
    <t>Total Debt, Including Capital Leases:</t>
  </si>
  <si>
    <t>Net Debt, Including Capital Leases:</t>
  </si>
  <si>
    <t>Equity Value on Exit:</t>
  </si>
  <si>
    <t>Investor Equity:</t>
  </si>
  <si>
    <t>Money-on-Money (MoM) Multiple:</t>
  </si>
  <si>
    <t>Internal Rate of Return (IRR):</t>
  </si>
  <si>
    <t>Returns Attribution Analysis:</t>
  </si>
  <si>
    <t>Amount:</t>
  </si>
  <si>
    <t>EBITDA Growth:</t>
  </si>
  <si>
    <t>Multiple Expansion:</t>
  </si>
  <si>
    <t>Total Return to Equity Investors:</t>
  </si>
  <si>
    <t>Debt Paydown, Dividends, and Cash:</t>
  </si>
  <si>
    <t>Cumulative Paydown % Initial Debt:</t>
  </si>
  <si>
    <t>(EBITDA - CapEx +/- Change in WC) / Net Interest:</t>
  </si>
  <si>
    <t>Purchase Premium and Per Share Offer Price in USD:</t>
  </si>
  <si>
    <t>% Debt:</t>
  </si>
  <si>
    <t>Post-Toggle Cost of Ent. and Merchandise:</t>
  </si>
  <si>
    <t>Post-Toggle Cost of Food and Beverage:</t>
  </si>
  <si>
    <t>Stock-Based Compensation % Revenue:</t>
  </si>
  <si>
    <t>LBO Exit Year:</t>
  </si>
  <si>
    <t>Sensitivity Analysis - IRR and Exit Year vs. Exit Multiple:</t>
  </si>
  <si>
    <t>IRR for Sensitivities:</t>
  </si>
  <si>
    <t>Year 5</t>
  </si>
  <si>
    <t>Sensitivity Analysis - IRR and Purchase Premium vs. % Debt:</t>
  </si>
  <si>
    <t>Sensitivity Analysis - IRR and Purchase Premium vs. Exit Multiple:</t>
  </si>
  <si>
    <t># Stores:</t>
  </si>
  <si>
    <t>Sensitivity Analysis - IRR and Purchase Premium vs. Sales per Stores:</t>
  </si>
  <si>
    <t>Sales per Store - Differential to Base Case Estimates:</t>
  </si>
  <si>
    <t>Growth in $ per New Store:</t>
  </si>
  <si>
    <t>Sales per Comparable Store - Post-Toggle:</t>
  </si>
  <si>
    <t>Sales per New Store:</t>
  </si>
  <si>
    <t># of Ending Stores - Post-Toggle:</t>
  </si>
  <si>
    <t>Sales per New Store - Post-Toggle:</t>
  </si>
  <si>
    <t>Stores per Year - Differential to Base Case Estimates:</t>
  </si>
  <si>
    <t>COGS and Store-Level Expenses - Differential to Base Case Estimates:</t>
  </si>
  <si>
    <t>Sensitivity Analysis - IRR and Purchase Premium vs. COGS and Store-Level Expense Differentials:</t>
  </si>
  <si>
    <t>Sensitivity Toggle - COGS and Store-Level Expenses:</t>
  </si>
  <si>
    <t>Sensitivity Toggle - Sales per Store:</t>
  </si>
  <si>
    <t>Sensitivity Toggle - # of Stores per Year:</t>
  </si>
  <si>
    <t>Sensitivity Analysis - IRR and Purchase Premium vs. Capital Expenditures:</t>
  </si>
  <si>
    <t>Sensitivity Toggle - Total CapEx:</t>
  </si>
  <si>
    <t>Total CapEx - Differential to Base Case Estimates:</t>
  </si>
  <si>
    <t>Sensitivity Analysis - IRR and Purchase Premium vs. # Stores per Year:</t>
  </si>
  <si>
    <t>Sensitivity Analyses:</t>
  </si>
  <si>
    <t>(USD $ in Millions Except Per Share and Per Unit Data)</t>
  </si>
  <si>
    <t>Plus: Cash Flow Available for Debt Repayment:</t>
  </si>
  <si>
    <t xml:space="preserve"> </t>
  </si>
  <si>
    <t>Depreciation of Existing Assets % Revenue:</t>
  </si>
  <si>
    <t>Cost of Food and Beverage % Revenue - Base:</t>
  </si>
  <si>
    <t>Cost of Ent. and Merchandise % Revenue - Base:</t>
  </si>
  <si>
    <t>New and Acquired Stores:</t>
  </si>
  <si>
    <t>Closed Stores:</t>
  </si>
  <si>
    <t>Entertainment and Merchandise % Store Sales:</t>
  </si>
  <si>
    <t>Cost of Entertainment and Merchandise:</t>
  </si>
  <si>
    <t>Lesson Notes:</t>
  </si>
  <si>
    <t>Plus: Depreciation of PP&amp;E Write-Up:</t>
  </si>
  <si>
    <t>Sales per Comparable Store:</t>
  </si>
  <si>
    <t>Growth in $ per Comparable:</t>
  </si>
  <si>
    <t># of Beginning Stores - Post-Toggle:</t>
  </si>
  <si>
    <t>New and Acquired Stores - Post-Toggle:</t>
  </si>
  <si>
    <t>Closed Stores  - Post-Toggle:</t>
  </si>
  <si>
    <t>Interest</t>
  </si>
  <si>
    <t>Prepay</t>
  </si>
  <si>
    <t>Principal</t>
  </si>
  <si>
    <t>Undrawn</t>
  </si>
  <si>
    <t>Years</t>
  </si>
  <si>
    <t>Rate:</t>
  </si>
  <si>
    <t>Allowed:</t>
  </si>
  <si>
    <t>Repayment:</t>
  </si>
  <si>
    <t>Fee:</t>
  </si>
  <si>
    <t>PIK:</t>
  </si>
  <si>
    <t>Recap and Summary</t>
  </si>
  <si>
    <r>
      <t xml:space="preserve">This first part is straightforward - just calculating how much debt we're </t>
    </r>
    <r>
      <rPr>
        <b/>
        <sz val="11"/>
        <rFont val="Calibri"/>
        <family val="2"/>
        <scheme val="minor"/>
      </rPr>
      <t>required</t>
    </r>
    <r>
      <rPr>
        <sz val="11"/>
        <rFont val="Calibri"/>
        <family val="2"/>
        <scheme val="minor"/>
      </rPr>
      <t xml:space="preserve"> to repay each year, along with any additional </t>
    </r>
  </si>
  <si>
    <t>borrowing that might be required.</t>
  </si>
  <si>
    <t>Step 1: Gather Historical Data</t>
  </si>
  <si>
    <t xml:space="preserve">Here, we need the company's scheduled repayments and interest on its existing debt (the outstanding Revolver)… just in case we </t>
  </si>
  <si>
    <t>choose to assume rather than refinance that debt. Pg. 42 of 10-K.</t>
  </si>
  <si>
    <t>Cash Flow Available for Debt Repayment:</t>
  </si>
  <si>
    <t>Step 2: Calculate Cash Flow Available for Debt Repayment and Subtotal Before Revolver</t>
  </si>
  <si>
    <t>Just sum up CFO, CFI, CFF, and FX Rate Effects on the CFS for the first part.</t>
  </si>
  <si>
    <t>Then, in the second part, start with the beginning cash balance, subtract the minimum cash balance that's required, and add the</t>
  </si>
  <si>
    <t>cash flow available for debt repayment.</t>
  </si>
  <si>
    <t>See if Revolver Borrowing is required by comparing this total to the Mandatory Debt Repayments using a MAX formula, and then</t>
  </si>
  <si>
    <t>sum up the cash flow available + Revolver Borrowing required.</t>
  </si>
  <si>
    <t>Step 3: Link in the Mandatory Debt Repayments</t>
  </si>
  <si>
    <t>Existing Debt - Only include if the existing debt is assumed instead of refinanced.</t>
  </si>
  <si>
    <t>Others - Always compare the set annual repayment amount to the beginning amount of debt, and repay whichever is smaller.</t>
  </si>
  <si>
    <t>So… if there's $50 in set annual repayments but only $20 of debt remains, only repay that $20 of debt. Otherwise repay $50.</t>
  </si>
  <si>
    <t>Step 4: Check the Formula</t>
  </si>
  <si>
    <t>Tough to do at this stage since we need to link the model first, but can test a few simple points such as the Revolver Borrowing.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</si>
</sst>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Y&quot;yy"/>
    <numFmt numFmtId="165" formatCode="#,##0_);\(#,##0\);\-_);@_)"/>
    <numFmt numFmtId="166" formatCode="#,##0.0_);\(#,##0.0\);\-_);@_)"/>
    <numFmt numFmtId="167" formatCode="0_);\(0\)"/>
    <numFmt numFmtId="168" formatCode="0.0%"/>
    <numFmt numFmtId="169" formatCode="0.0%;\(0.0%\)"/>
    <numFmt numFmtId="170" formatCode="_(&quot;$&quot;* #,##0.0_);_(&quot;$&quot;* \(#,##0.0\);_(&quot;$&quot;* &quot;-&quot;?_);_(@_)"/>
    <numFmt numFmtId="171" formatCode="_(* #,##0.0_);_(* \(#,##0.0\);_(* &quot;-&quot;?_);_(@_)"/>
    <numFmt numFmtId="172" formatCode="&quot;$&quot;#,##0_);\(&quot;$&quot;#,##0\);&quot;OK!&quot;;&quot;ERROR&quot;"/>
    <numFmt numFmtId="173" formatCode="0.0"/>
    <numFmt numFmtId="174" formatCode="_(&quot;$&quot;* #,##0.000_);_(&quot;$&quot;* \(#,##0.000\);_(&quot;$&quot;* &quot;-&quot;???_);_(@_)"/>
    <numFmt numFmtId="175" formatCode="_(* #,##0.000_);_(* \(#,##0.000\);_(* &quot;-&quot;???_);_(@_)"/>
    <numFmt numFmtId="176" formatCode="#,##0.000_);\(#,##0.000\)"/>
    <numFmt numFmtId="177" formatCode="&quot;L + &quot;\ ##"/>
    <numFmt numFmtId="178" formatCode="&quot;Yes&quot;;;&quot;No&quot;"/>
    <numFmt numFmtId="179" formatCode="0.00%;\(0.00%\)"/>
    <numFmt numFmtId="180" formatCode="0.0\ \x"/>
    <numFmt numFmtId="181" formatCode="0.0%;\(0.0%\);&quot;–&quot;;@"/>
    <numFmt numFmtId="182" formatCode="_(#,##0_)_%;\(#,##0\)_%;_(&quot;–&quot;_)_%;_(@_)_%"/>
    <numFmt numFmtId="183" formatCode="_(0.0%_);\(0.0%\);_(&quot;–&quot;_)_%;_(@_)_%"/>
    <numFmt numFmtId="184" formatCode="0.00%;\(0.00%\);&quot;–&quot;;@"/>
    <numFmt numFmtId="185" formatCode="_(#,##0.0_);\(#,##0.0\);_(&quot;–&quot;_);_(@_)"/>
    <numFmt numFmtId="186" formatCode="&quot;Yes&quot;;&quot;ERROR&quot;;&quot;No&quot;;&quot;ERROR&quot;"/>
    <numFmt numFmtId="187" formatCode="_(0.0\x_);\(0.0\x\);_(&quot;–&quot;_);_(@_)"/>
    <numFmt numFmtId="188" formatCode="&quot;2Q&quot;yy"/>
    <numFmt numFmtId="189" formatCode="yyyy\-mm\-dd"/>
    <numFmt numFmtId="190" formatCode="_ [$¥-804]* #,##0.0_ ;_ [$¥-804]* \-#,##0.0_ ;_ [$¥-804]* &quot;-&quot;?_ ;_ @_ "/>
    <numFmt numFmtId="191" formatCode="0.0_);\(0.0\)"/>
    <numFmt numFmtId="192" formatCode="0.0\ \x;\(0.0\ \x\)"/>
    <numFmt numFmtId="193" formatCode="_(* #,##0.0_);_(* \(#,##0.0\);_(* &quot;-&quot;_);_(@_)"/>
    <numFmt numFmtId="194" formatCode="0.0%;[Red]\(0.0%\)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u/>
      <sz val="11"/>
      <color indexed="9"/>
      <name val="Calibri"/>
      <family val="2"/>
      <scheme val="minor"/>
    </font>
    <font>
      <u/>
      <sz val="11"/>
      <color indexed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theme="0" tint="-0.24994659260841701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theme="0" tint="-0.24994659260841701"/>
      </bottom>
      <diagonal/>
    </border>
  </borders>
  <cellStyleXfs count="3">
    <xf numFmtId="0" fontId="0" fillId="0" borderId="0"/>
    <xf numFmtId="0" fontId="13" fillId="3" borderId="3" applyNumberFormat="0" applyFont="0" applyAlignment="0" applyProtection="0"/>
    <xf numFmtId="0" fontId="13" fillId="0" borderId="0"/>
  </cellStyleXfs>
  <cellXfs count="6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1" xfId="0" applyFont="1" applyBorder="1"/>
    <xf numFmtId="0" fontId="4" fillId="0" borderId="0" xfId="0" applyFont="1" applyBorder="1"/>
    <xf numFmtId="0" fontId="4" fillId="0" borderId="1" xfId="0" applyFont="1" applyBorder="1"/>
    <xf numFmtId="0" fontId="2" fillId="0" borderId="0" xfId="0" applyFont="1" applyAlignment="1"/>
    <xf numFmtId="166" fontId="6" fillId="0" borderId="0" xfId="0" applyNumberFormat="1" applyFont="1" applyBorder="1" applyAlignment="1"/>
    <xf numFmtId="165" fontId="6" fillId="0" borderId="0" xfId="0" applyNumberFormat="1" applyFont="1" applyBorder="1" applyAlignment="1"/>
    <xf numFmtId="0" fontId="3" fillId="0" borderId="0" xfId="0" applyFont="1" applyBorder="1" applyAlignment="1">
      <alignment horizontal="left" indent="1"/>
    </xf>
    <xf numFmtId="167" fontId="6" fillId="0" borderId="0" xfId="0" applyNumberFormat="1" applyFont="1" applyBorder="1" applyAlignment="1"/>
    <xf numFmtId="167" fontId="8" fillId="0" borderId="1" xfId="0" applyNumberFormat="1" applyFont="1" applyBorder="1" applyAlignment="1"/>
    <xf numFmtId="167" fontId="9" fillId="0" borderId="0" xfId="0" applyNumberFormat="1" applyFont="1" applyBorder="1" applyAlignment="1"/>
    <xf numFmtId="0" fontId="3" fillId="0" borderId="0" xfId="0" applyFont="1" applyFill="1" applyBorder="1" applyAlignment="1">
      <alignment horizontal="left" indent="1"/>
    </xf>
    <xf numFmtId="169" fontId="10" fillId="0" borderId="0" xfId="0" applyNumberFormat="1" applyFont="1" applyBorder="1" applyAlignment="1"/>
    <xf numFmtId="42" fontId="6" fillId="0" borderId="0" xfId="0" applyNumberFormat="1" applyFont="1" applyBorder="1" applyAlignment="1"/>
    <xf numFmtId="0" fontId="5" fillId="0" borderId="0" xfId="0" applyFont="1" applyBorder="1"/>
    <xf numFmtId="165" fontId="4" fillId="0" borderId="0" xfId="0" applyNumberFormat="1" applyFont="1" applyBorder="1" applyAlignment="1"/>
    <xf numFmtId="0" fontId="4" fillId="0" borderId="1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165" fontId="4" fillId="0" borderId="0" xfId="0" applyNumberFormat="1" applyFont="1" applyBorder="1"/>
    <xf numFmtId="42" fontId="9" fillId="0" borderId="0" xfId="0" applyNumberFormat="1" applyFont="1" applyBorder="1" applyAlignment="1"/>
    <xf numFmtId="42" fontId="4" fillId="0" borderId="1" xfId="0" applyNumberFormat="1" applyFont="1" applyBorder="1"/>
    <xf numFmtId="168" fontId="3" fillId="0" borderId="0" xfId="0" applyNumberFormat="1" applyFont="1" applyBorder="1"/>
    <xf numFmtId="41" fontId="9" fillId="0" borderId="0" xfId="0" applyNumberFormat="1" applyFont="1" applyBorder="1" applyAlignment="1"/>
    <xf numFmtId="170" fontId="6" fillId="0" borderId="0" xfId="0" applyNumberFormat="1" applyFont="1" applyBorder="1" applyAlignment="1"/>
    <xf numFmtId="171" fontId="6" fillId="0" borderId="0" xfId="0" applyNumberFormat="1" applyFont="1" applyBorder="1" applyAlignment="1"/>
    <xf numFmtId="171" fontId="4" fillId="0" borderId="1" xfId="0" applyNumberFormat="1" applyFont="1" applyBorder="1"/>
    <xf numFmtId="171" fontId="4" fillId="0" borderId="1" xfId="0" applyNumberFormat="1" applyFont="1" applyBorder="1" applyAlignment="1"/>
    <xf numFmtId="171" fontId="4" fillId="0" borderId="0" xfId="0" applyNumberFormat="1" applyFont="1" applyBorder="1"/>
    <xf numFmtId="171" fontId="9" fillId="0" borderId="0" xfId="0" applyNumberFormat="1" applyFont="1" applyBorder="1" applyAlignment="1"/>
    <xf numFmtId="170" fontId="4" fillId="0" borderId="1" xfId="0" applyNumberFormat="1" applyFont="1" applyBorder="1" applyAlignment="1"/>
    <xf numFmtId="0" fontId="4" fillId="0" borderId="1" xfId="0" applyFont="1" applyBorder="1" applyAlignment="1">
      <alignment horizontal="left"/>
    </xf>
    <xf numFmtId="171" fontId="8" fillId="0" borderId="1" xfId="0" applyNumberFormat="1" applyFont="1" applyBorder="1" applyAlignment="1"/>
    <xf numFmtId="170" fontId="8" fillId="0" borderId="1" xfId="0" applyNumberFormat="1" applyFont="1" applyBorder="1" applyAlignment="1"/>
    <xf numFmtId="170" fontId="4" fillId="0" borderId="0" xfId="0" applyNumberFormat="1" applyFont="1" applyAlignment="1"/>
    <xf numFmtId="172" fontId="3" fillId="0" borderId="0" xfId="0" applyNumberFormat="1" applyFont="1"/>
    <xf numFmtId="169" fontId="9" fillId="0" borderId="0" xfId="0" applyNumberFormat="1" applyFont="1" applyBorder="1" applyAlignment="1"/>
    <xf numFmtId="170" fontId="9" fillId="0" borderId="0" xfId="0" applyNumberFormat="1" applyFont="1" applyBorder="1" applyAlignment="1"/>
    <xf numFmtId="170" fontId="8" fillId="0" borderId="0" xfId="0" applyNumberFormat="1" applyFont="1" applyBorder="1" applyAlignment="1"/>
    <xf numFmtId="0" fontId="9" fillId="0" borderId="0" xfId="0" applyFont="1" applyAlignment="1"/>
    <xf numFmtId="170" fontId="4" fillId="0" borderId="0" xfId="0" applyNumberFormat="1" applyFont="1"/>
    <xf numFmtId="171" fontId="6" fillId="0" borderId="0" xfId="0" applyNumberFormat="1" applyFont="1" applyBorder="1"/>
    <xf numFmtId="170" fontId="4" fillId="0" borderId="1" xfId="0" applyNumberFormat="1" applyFont="1" applyBorder="1"/>
    <xf numFmtId="170" fontId="4" fillId="0" borderId="0" xfId="0" applyNumberFormat="1" applyFont="1" applyBorder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178" fontId="6" fillId="2" borderId="3" xfId="0" applyNumberFormat="1" applyFont="1" applyFill="1" applyBorder="1" applyAlignment="1">
      <alignment horizontal="center"/>
    </xf>
    <xf numFmtId="171" fontId="9" fillId="0" borderId="0" xfId="0" applyNumberFormat="1" applyFont="1" applyBorder="1"/>
    <xf numFmtId="169" fontId="3" fillId="0" borderId="0" xfId="0" applyNumberFormat="1" applyFont="1"/>
    <xf numFmtId="0" fontId="4" fillId="0" borderId="1" xfId="0" applyFont="1" applyBorder="1" applyAlignment="1"/>
    <xf numFmtId="171" fontId="3" fillId="0" borderId="0" xfId="0" applyNumberFormat="1" applyFont="1"/>
    <xf numFmtId="0" fontId="3" fillId="0" borderId="0" xfId="0" applyFont="1" applyBorder="1" applyAlignment="1">
      <alignment horizontal="left" indent="2"/>
    </xf>
    <xf numFmtId="37" fontId="6" fillId="2" borderId="3" xfId="1" applyNumberFormat="1" applyFont="1" applyFill="1" applyBorder="1" applyAlignment="1">
      <alignment horizontal="center"/>
    </xf>
    <xf numFmtId="44" fontId="6" fillId="2" borderId="3" xfId="1" applyNumberFormat="1" applyFont="1" applyFill="1" applyBorder="1"/>
    <xf numFmtId="0" fontId="9" fillId="0" borderId="0" xfId="0" applyFont="1" applyBorder="1"/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indent="1"/>
    </xf>
    <xf numFmtId="167" fontId="6" fillId="0" borderId="6" xfId="0" applyNumberFormat="1" applyFont="1" applyBorder="1" applyAlignment="1"/>
    <xf numFmtId="167" fontId="9" fillId="0" borderId="6" xfId="0" applyNumberFormat="1" applyFont="1" applyBorder="1" applyAlignment="1"/>
    <xf numFmtId="167" fontId="8" fillId="0" borderId="7" xfId="0" applyNumberFormat="1" applyFont="1" applyBorder="1" applyAlignment="1"/>
    <xf numFmtId="169" fontId="10" fillId="0" borderId="6" xfId="0" applyNumberFormat="1" applyFont="1" applyBorder="1" applyAlignment="1"/>
    <xf numFmtId="166" fontId="6" fillId="0" borderId="6" xfId="0" applyNumberFormat="1" applyFont="1" applyBorder="1" applyAlignment="1"/>
    <xf numFmtId="42" fontId="6" fillId="0" borderId="6" xfId="0" applyNumberFormat="1" applyFont="1" applyBorder="1" applyAlignment="1"/>
    <xf numFmtId="42" fontId="9" fillId="0" borderId="6" xfId="0" applyNumberFormat="1" applyFont="1" applyBorder="1" applyAlignment="1"/>
    <xf numFmtId="42" fontId="4" fillId="0" borderId="7" xfId="0" applyNumberFormat="1" applyFont="1" applyBorder="1"/>
    <xf numFmtId="169" fontId="9" fillId="0" borderId="6" xfId="0" applyNumberFormat="1" applyFont="1" applyBorder="1" applyAlignment="1"/>
    <xf numFmtId="167" fontId="6" fillId="0" borderId="10" xfId="0" applyNumberFormat="1" applyFont="1" applyBorder="1" applyAlignment="1"/>
    <xf numFmtId="167" fontId="9" fillId="0" borderId="10" xfId="0" applyNumberFormat="1" applyFont="1" applyBorder="1" applyAlignment="1"/>
    <xf numFmtId="167" fontId="8" fillId="0" borderId="8" xfId="0" applyNumberFormat="1" applyFont="1" applyBorder="1" applyAlignment="1"/>
    <xf numFmtId="169" fontId="10" fillId="0" borderId="10" xfId="0" applyNumberFormat="1" applyFont="1" applyBorder="1" applyAlignment="1"/>
    <xf numFmtId="166" fontId="6" fillId="0" borderId="10" xfId="0" applyNumberFormat="1" applyFont="1" applyBorder="1" applyAlignment="1"/>
    <xf numFmtId="42" fontId="6" fillId="0" borderId="10" xfId="0" applyNumberFormat="1" applyFont="1" applyBorder="1" applyAlignment="1"/>
    <xf numFmtId="42" fontId="9" fillId="0" borderId="10" xfId="0" applyNumberFormat="1" applyFont="1" applyBorder="1" applyAlignment="1"/>
    <xf numFmtId="42" fontId="4" fillId="0" borderId="8" xfId="0" applyNumberFormat="1" applyFont="1" applyBorder="1"/>
    <xf numFmtId="169" fontId="9" fillId="0" borderId="10" xfId="0" applyNumberFormat="1" applyFont="1" applyBorder="1" applyAlignment="1"/>
    <xf numFmtId="165" fontId="6" fillId="0" borderId="6" xfId="0" applyNumberFormat="1" applyFont="1" applyBorder="1" applyAlignment="1"/>
    <xf numFmtId="41" fontId="9" fillId="0" borderId="6" xfId="0" applyNumberFormat="1" applyFont="1" applyBorder="1" applyAlignment="1"/>
    <xf numFmtId="165" fontId="6" fillId="0" borderId="10" xfId="0" applyNumberFormat="1" applyFont="1" applyBorder="1" applyAlignment="1"/>
    <xf numFmtId="41" fontId="9" fillId="0" borderId="10" xfId="0" applyNumberFormat="1" applyFont="1" applyBorder="1" applyAlignment="1"/>
    <xf numFmtId="170" fontId="6" fillId="0" borderId="6" xfId="0" applyNumberFormat="1" applyFont="1" applyBorder="1" applyAlignment="1"/>
    <xf numFmtId="171" fontId="6" fillId="0" borderId="6" xfId="0" applyNumberFormat="1" applyFont="1" applyBorder="1" applyAlignment="1"/>
    <xf numFmtId="171" fontId="4" fillId="0" borderId="7" xfId="0" applyNumberFormat="1" applyFont="1" applyBorder="1" applyAlignment="1"/>
    <xf numFmtId="170" fontId="6" fillId="0" borderId="10" xfId="0" applyNumberFormat="1" applyFont="1" applyBorder="1" applyAlignment="1"/>
    <xf numFmtId="171" fontId="6" fillId="0" borderId="10" xfId="0" applyNumberFormat="1" applyFont="1" applyBorder="1" applyAlignment="1"/>
    <xf numFmtId="171" fontId="4" fillId="0" borderId="8" xfId="0" applyNumberFormat="1" applyFont="1" applyBorder="1" applyAlignment="1"/>
    <xf numFmtId="165" fontId="6" fillId="0" borderId="7" xfId="0" applyNumberFormat="1" applyFont="1" applyBorder="1" applyAlignment="1"/>
    <xf numFmtId="171" fontId="4" fillId="0" borderId="7" xfId="0" applyNumberFormat="1" applyFont="1" applyBorder="1"/>
    <xf numFmtId="165" fontId="4" fillId="0" borderId="6" xfId="0" applyNumberFormat="1" applyFont="1" applyBorder="1" applyAlignment="1"/>
    <xf numFmtId="165" fontId="4" fillId="0" borderId="6" xfId="0" applyNumberFormat="1" applyFont="1" applyBorder="1"/>
    <xf numFmtId="171" fontId="4" fillId="0" borderId="6" xfId="0" applyNumberFormat="1" applyFont="1" applyBorder="1"/>
    <xf numFmtId="168" fontId="3" fillId="0" borderId="6" xfId="0" applyNumberFormat="1" applyFont="1" applyBorder="1"/>
    <xf numFmtId="171" fontId="6" fillId="0" borderId="6" xfId="0" applyNumberFormat="1" applyFont="1" applyBorder="1"/>
    <xf numFmtId="170" fontId="8" fillId="0" borderId="6" xfId="0" applyNumberFormat="1" applyFont="1" applyBorder="1" applyAlignment="1"/>
    <xf numFmtId="165" fontId="6" fillId="0" borderId="8" xfId="0" applyNumberFormat="1" applyFont="1" applyBorder="1" applyAlignment="1"/>
    <xf numFmtId="171" fontId="4" fillId="0" borderId="8" xfId="0" applyNumberFormat="1" applyFont="1" applyBorder="1"/>
    <xf numFmtId="165" fontId="4" fillId="0" borderId="10" xfId="0" applyNumberFormat="1" applyFont="1" applyBorder="1" applyAlignment="1"/>
    <xf numFmtId="165" fontId="4" fillId="0" borderId="10" xfId="0" applyNumberFormat="1" applyFont="1" applyBorder="1"/>
    <xf numFmtId="171" fontId="4" fillId="0" borderId="10" xfId="0" applyNumberFormat="1" applyFont="1" applyBorder="1"/>
    <xf numFmtId="168" fontId="3" fillId="0" borderId="10" xfId="0" applyNumberFormat="1" applyFont="1" applyBorder="1"/>
    <xf numFmtId="171" fontId="6" fillId="0" borderId="10" xfId="0" applyNumberFormat="1" applyFont="1" applyBorder="1"/>
    <xf numFmtId="170" fontId="8" fillId="0" borderId="7" xfId="0" applyNumberFormat="1" applyFont="1" applyBorder="1" applyAlignment="1"/>
    <xf numFmtId="170" fontId="4" fillId="0" borderId="6" xfId="0" applyNumberFormat="1" applyFont="1" applyBorder="1" applyAlignment="1"/>
    <xf numFmtId="172" fontId="3" fillId="0" borderId="6" xfId="0" applyNumberFormat="1" applyFont="1" applyBorder="1"/>
    <xf numFmtId="170" fontId="8" fillId="0" borderId="8" xfId="0" applyNumberFormat="1" applyFont="1" applyBorder="1" applyAlignment="1"/>
    <xf numFmtId="170" fontId="4" fillId="0" borderId="10" xfId="0" applyNumberFormat="1" applyFont="1" applyBorder="1" applyAlignment="1"/>
    <xf numFmtId="171" fontId="6" fillId="0" borderId="2" xfId="0" applyNumberFormat="1" applyFont="1" applyBorder="1" applyAlignment="1"/>
    <xf numFmtId="171" fontId="6" fillId="0" borderId="14" xfId="0" applyNumberFormat="1" applyFont="1" applyBorder="1" applyAlignment="1"/>
    <xf numFmtId="171" fontId="6" fillId="4" borderId="0" xfId="0" applyNumberFormat="1" applyFont="1" applyFill="1" applyBorder="1" applyAlignment="1"/>
    <xf numFmtId="171" fontId="6" fillId="4" borderId="10" xfId="0" applyNumberFormat="1" applyFont="1" applyFill="1" applyBorder="1" applyAlignment="1"/>
    <xf numFmtId="171" fontId="9" fillId="4" borderId="0" xfId="0" applyNumberFormat="1" applyFont="1" applyFill="1" applyBorder="1" applyAlignment="1"/>
    <xf numFmtId="171" fontId="6" fillId="4" borderId="2" xfId="0" applyNumberFormat="1" applyFont="1" applyFill="1" applyBorder="1" applyAlignment="1"/>
    <xf numFmtId="171" fontId="6" fillId="4" borderId="14" xfId="0" applyNumberFormat="1" applyFont="1" applyFill="1" applyBorder="1" applyAlignment="1"/>
    <xf numFmtId="171" fontId="16" fillId="4" borderId="0" xfId="0" applyNumberFormat="1" applyFont="1" applyFill="1" applyBorder="1" applyAlignment="1"/>
    <xf numFmtId="171" fontId="16" fillId="4" borderId="2" xfId="0" applyNumberFormat="1" applyFont="1" applyFill="1" applyBorder="1" applyAlignment="1"/>
    <xf numFmtId="171" fontId="16" fillId="4" borderId="10" xfId="0" applyNumberFormat="1" applyFont="1" applyFill="1" applyBorder="1" applyAlignment="1"/>
    <xf numFmtId="171" fontId="16" fillId="4" borderId="14" xfId="0" applyNumberFormat="1" applyFont="1" applyFill="1" applyBorder="1" applyAlignment="1"/>
    <xf numFmtId="171" fontId="6" fillId="0" borderId="15" xfId="0" applyNumberFormat="1" applyFont="1" applyBorder="1" applyAlignment="1"/>
    <xf numFmtId="171" fontId="6" fillId="4" borderId="12" xfId="0" applyNumberFormat="1" applyFont="1" applyFill="1" applyBorder="1" applyAlignment="1"/>
    <xf numFmtId="171" fontId="16" fillId="4" borderId="13" xfId="0" applyNumberFormat="1" applyFont="1" applyFill="1" applyBorder="1" applyAlignment="1"/>
    <xf numFmtId="171" fontId="9" fillId="4" borderId="12" xfId="0" applyNumberFormat="1" applyFont="1" applyFill="1" applyBorder="1" applyAlignment="1"/>
    <xf numFmtId="172" fontId="3" fillId="0" borderId="0" xfId="0" applyNumberFormat="1" applyFont="1" applyBorder="1"/>
    <xf numFmtId="0" fontId="9" fillId="0" borderId="2" xfId="0" applyFont="1" applyBorder="1" applyAlignment="1">
      <alignment horizontal="left" indent="1"/>
    </xf>
    <xf numFmtId="186" fontId="6" fillId="2" borderId="3" xfId="1" applyNumberFormat="1" applyFont="1" applyFill="1" applyAlignment="1">
      <alignment horizontal="center"/>
    </xf>
    <xf numFmtId="171" fontId="4" fillId="0" borderId="0" xfId="0" applyNumberFormat="1" applyFont="1" applyAlignment="1"/>
    <xf numFmtId="172" fontId="4" fillId="0" borderId="0" xfId="0" applyNumberFormat="1" applyFont="1" applyBorder="1"/>
    <xf numFmtId="171" fontId="6" fillId="4" borderId="0" xfId="0" applyNumberFormat="1" applyFont="1" applyFill="1"/>
    <xf numFmtId="171" fontId="6" fillId="4" borderId="0" xfId="0" applyNumberFormat="1" applyFont="1" applyFill="1" applyAlignment="1"/>
    <xf numFmtId="171" fontId="6" fillId="4" borderId="6" xfId="0" applyNumberFormat="1" applyFont="1" applyFill="1" applyBorder="1" applyAlignment="1"/>
    <xf numFmtId="171" fontId="6" fillId="4" borderId="2" xfId="0" applyNumberFormat="1" applyFont="1" applyFill="1" applyBorder="1"/>
    <xf numFmtId="171" fontId="6" fillId="4" borderId="15" xfId="0" applyNumberFormat="1" applyFont="1" applyFill="1" applyBorder="1" applyAlignment="1"/>
    <xf numFmtId="0" fontId="4" fillId="0" borderId="2" xfId="0" applyFont="1" applyBorder="1"/>
    <xf numFmtId="170" fontId="9" fillId="4" borderId="12" xfId="0" applyNumberFormat="1" applyFont="1" applyFill="1" applyBorder="1" applyAlignment="1"/>
    <xf numFmtId="170" fontId="9" fillId="4" borderId="13" xfId="0" applyNumberFormat="1" applyFont="1" applyFill="1" applyBorder="1" applyAlignment="1"/>
    <xf numFmtId="171" fontId="9" fillId="4" borderId="0" xfId="0" applyNumberFormat="1" applyFont="1" applyFill="1" applyAlignment="1"/>
    <xf numFmtId="171" fontId="9" fillId="4" borderId="2" xfId="0" applyNumberFormat="1" applyFont="1" applyFill="1" applyBorder="1" applyAlignment="1"/>
    <xf numFmtId="0" fontId="9" fillId="0" borderId="2" xfId="0" applyFont="1" applyBorder="1" applyAlignment="1"/>
    <xf numFmtId="171" fontId="17" fillId="0" borderId="0" xfId="0" applyNumberFormat="1" applyFont="1" applyBorder="1" applyAlignment="1"/>
    <xf numFmtId="170" fontId="6" fillId="4" borderId="16" xfId="0" applyNumberFormat="1" applyFont="1" applyFill="1" applyBorder="1" applyAlignment="1"/>
    <xf numFmtId="171" fontId="4" fillId="0" borderId="2" xfId="0" applyNumberFormat="1" applyFont="1" applyBorder="1" applyAlignment="1"/>
    <xf numFmtId="171" fontId="16" fillId="0" borderId="10" xfId="0" applyNumberFormat="1" applyFont="1" applyBorder="1" applyAlignment="1"/>
    <xf numFmtId="171" fontId="16" fillId="4" borderId="6" xfId="0" applyNumberFormat="1" applyFont="1" applyFill="1" applyBorder="1" applyAlignment="1"/>
    <xf numFmtId="171" fontId="16" fillId="4" borderId="15" xfId="0" applyNumberFormat="1" applyFont="1" applyFill="1" applyBorder="1" applyAlignment="1"/>
    <xf numFmtId="171" fontId="4" fillId="0" borderId="0" xfId="0" applyNumberFormat="1" applyFont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0" xfId="0" applyFont="1"/>
    <xf numFmtId="0" fontId="9" fillId="0" borderId="0" xfId="0" applyFont="1" applyAlignment="1">
      <alignment horizontal="left" indent="1"/>
    </xf>
    <xf numFmtId="0" fontId="9" fillId="0" borderId="2" xfId="0" applyFont="1" applyBorder="1"/>
    <xf numFmtId="181" fontId="4" fillId="0" borderId="0" xfId="0" applyNumberFormat="1" applyFont="1" applyAlignment="1"/>
    <xf numFmtId="0" fontId="1" fillId="0" borderId="0" xfId="0" applyFont="1"/>
    <xf numFmtId="177" fontId="6" fillId="2" borderId="5" xfId="2" applyNumberFormat="1" applyFont="1" applyFill="1" applyBorder="1" applyAlignment="1">
      <alignment horizontal="center"/>
    </xf>
    <xf numFmtId="177" fontId="6" fillId="2" borderId="3" xfId="2" applyNumberFormat="1" applyFont="1" applyFill="1" applyBorder="1" applyAlignment="1">
      <alignment horizontal="center"/>
    </xf>
    <xf numFmtId="181" fontId="6" fillId="2" borderId="3" xfId="1" applyNumberFormat="1" applyFont="1" applyFill="1" applyAlignment="1">
      <alignment horizontal="center"/>
    </xf>
    <xf numFmtId="173" fontId="9" fillId="2" borderId="3" xfId="0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Continuous"/>
    </xf>
    <xf numFmtId="0" fontId="19" fillId="5" borderId="17" xfId="0" applyFont="1" applyFill="1" applyBorder="1" applyAlignment="1">
      <alignment horizontal="centerContinuous"/>
    </xf>
    <xf numFmtId="0" fontId="19" fillId="5" borderId="18" xfId="0" applyFont="1" applyFill="1" applyBorder="1" applyAlignment="1">
      <alignment horizontal="centerContinuous"/>
    </xf>
    <xf numFmtId="164" fontId="18" fillId="5" borderId="2" xfId="0" applyNumberFormat="1" applyFont="1" applyFill="1" applyBorder="1" applyAlignment="1">
      <alignment horizontal="center"/>
    </xf>
    <xf numFmtId="164" fontId="18" fillId="5" borderId="19" xfId="0" applyNumberFormat="1" applyFont="1" applyFill="1" applyBorder="1" applyAlignment="1">
      <alignment horizontal="center"/>
    </xf>
    <xf numFmtId="164" fontId="18" fillId="5" borderId="20" xfId="0" applyNumberFormat="1" applyFont="1" applyFill="1" applyBorder="1" applyAlignment="1">
      <alignment horizontal="center"/>
    </xf>
    <xf numFmtId="164" fontId="18" fillId="5" borderId="21" xfId="0" applyNumberFormat="1" applyFont="1" applyFill="1" applyBorder="1" applyAlignment="1">
      <alignment horizontal="center"/>
    </xf>
    <xf numFmtId="164" fontId="14" fillId="6" borderId="2" xfId="0" applyNumberFormat="1" applyFont="1" applyFill="1" applyBorder="1" applyAlignment="1">
      <alignment horizontal="center"/>
    </xf>
    <xf numFmtId="0" fontId="14" fillId="6" borderId="22" xfId="0" applyFont="1" applyFill="1" applyBorder="1" applyAlignment="1">
      <alignment horizontal="centerContinuous"/>
    </xf>
    <xf numFmtId="0" fontId="14" fillId="6" borderId="17" xfId="0" applyFont="1" applyFill="1" applyBorder="1" applyAlignment="1">
      <alignment horizontal="centerContinuous"/>
    </xf>
    <xf numFmtId="0" fontId="14" fillId="6" borderId="18" xfId="0" applyFont="1" applyFill="1" applyBorder="1" applyAlignment="1">
      <alignment horizontal="centerContinuous"/>
    </xf>
    <xf numFmtId="164" fontId="14" fillId="6" borderId="20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Continuous"/>
    </xf>
    <xf numFmtId="188" fontId="20" fillId="5" borderId="2" xfId="0" applyNumberFormat="1" applyFont="1" applyFill="1" applyBorder="1" applyAlignment="1">
      <alignment horizontal="center"/>
    </xf>
    <xf numFmtId="0" fontId="15" fillId="6" borderId="0" xfId="0" applyFont="1" applyFill="1"/>
    <xf numFmtId="0" fontId="15" fillId="6" borderId="0" xfId="0" applyFont="1" applyFill="1" applyBorder="1"/>
    <xf numFmtId="0" fontId="14" fillId="6" borderId="2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1" fillId="5" borderId="2" xfId="0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37" fontId="6" fillId="2" borderId="3" xfId="1" applyNumberFormat="1" applyFont="1" applyFill="1" applyAlignment="1">
      <alignment horizontal="center"/>
    </xf>
    <xf numFmtId="0" fontId="1" fillId="0" borderId="0" xfId="0" applyFont="1" applyAlignment="1"/>
    <xf numFmtId="0" fontId="6" fillId="2" borderId="9" xfId="1" applyFont="1" applyFill="1" applyBorder="1" applyAlignment="1">
      <alignment horizontal="right"/>
    </xf>
    <xf numFmtId="0" fontId="6" fillId="2" borderId="23" xfId="1" applyFont="1" applyFill="1" applyBorder="1" applyAlignment="1">
      <alignment horizontal="right"/>
    </xf>
    <xf numFmtId="185" fontId="16" fillId="0" borderId="0" xfId="0" applyNumberFormat="1" applyFont="1" applyFill="1" applyBorder="1"/>
    <xf numFmtId="175" fontId="9" fillId="2" borderId="3" xfId="0" applyNumberFormat="1" applyFont="1" applyFill="1" applyBorder="1"/>
    <xf numFmtId="0" fontId="4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75" fontId="6" fillId="0" borderId="0" xfId="0" applyNumberFormat="1" applyFont="1" applyBorder="1"/>
    <xf numFmtId="44" fontId="6" fillId="0" borderId="0" xfId="0" applyNumberFormat="1" applyFont="1" applyBorder="1" applyAlignment="1">
      <alignment horizontal="right"/>
    </xf>
    <xf numFmtId="175" fontId="9" fillId="0" borderId="0" xfId="0" applyNumberFormat="1" applyFont="1" applyFill="1" applyBorder="1"/>
    <xf numFmtId="44" fontId="9" fillId="0" borderId="0" xfId="0" applyNumberFormat="1" applyFont="1" applyFill="1" applyBorder="1"/>
    <xf numFmtId="175" fontId="4" fillId="0" borderId="1" xfId="0" applyNumberFormat="1" applyFont="1" applyBorder="1"/>
    <xf numFmtId="185" fontId="16" fillId="0" borderId="2" xfId="0" applyNumberFormat="1" applyFont="1" applyFill="1" applyBorder="1"/>
    <xf numFmtId="171" fontId="6" fillId="0" borderId="0" xfId="0" applyNumberFormat="1" applyFont="1" applyFill="1" applyBorder="1"/>
    <xf numFmtId="171" fontId="9" fillId="0" borderId="0" xfId="0" applyNumberFormat="1" applyFont="1" applyFill="1" applyBorder="1"/>
    <xf numFmtId="171" fontId="6" fillId="0" borderId="2" xfId="0" applyNumberFormat="1" applyFont="1" applyFill="1" applyBorder="1"/>
    <xf numFmtId="171" fontId="9" fillId="0" borderId="2" xfId="0" applyNumberFormat="1" applyFont="1" applyFill="1" applyBorder="1"/>
    <xf numFmtId="171" fontId="1" fillId="0" borderId="0" xfId="0" applyNumberFormat="1" applyFont="1" applyAlignment="1"/>
    <xf numFmtId="170" fontId="8" fillId="0" borderId="2" xfId="0" applyNumberFormat="1" applyFont="1" applyBorder="1" applyAlignment="1"/>
    <xf numFmtId="0" fontId="4" fillId="7" borderId="2" xfId="0" applyFont="1" applyFill="1" applyBorder="1"/>
    <xf numFmtId="170" fontId="9" fillId="0" borderId="0" xfId="0" applyNumberFormat="1" applyFont="1" applyBorder="1"/>
    <xf numFmtId="190" fontId="9" fillId="0" borderId="0" xfId="0" applyNumberFormat="1" applyFont="1" applyBorder="1"/>
    <xf numFmtId="171" fontId="7" fillId="0" borderId="0" xfId="0" applyNumberFormat="1" applyFont="1" applyBorder="1"/>
    <xf numFmtId="180" fontId="9" fillId="0" borderId="0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70" fontId="9" fillId="0" borderId="0" xfId="2" applyNumberFormat="1" applyFont="1" applyBorder="1"/>
    <xf numFmtId="171" fontId="6" fillId="2" borderId="3" xfId="1" applyNumberFormat="1" applyFont="1" applyFill="1" applyBorder="1"/>
    <xf numFmtId="168" fontId="6" fillId="0" borderId="0" xfId="0" applyNumberFormat="1" applyFont="1" applyAlignment="1">
      <alignment horizontal="center"/>
    </xf>
    <xf numFmtId="175" fontId="9" fillId="0" borderId="0" xfId="2" applyNumberFormat="1" applyFont="1" applyBorder="1"/>
    <xf numFmtId="190" fontId="9" fillId="0" borderId="0" xfId="0" applyNumberFormat="1" applyFont="1" applyFill="1" applyBorder="1"/>
    <xf numFmtId="190" fontId="4" fillId="0" borderId="0" xfId="0" applyNumberFormat="1" applyFont="1" applyFill="1" applyBorder="1"/>
    <xf numFmtId="171" fontId="9" fillId="0" borderId="0" xfId="0" applyNumberFormat="1" applyFont="1"/>
    <xf numFmtId="189" fontId="6" fillId="2" borderId="3" xfId="0" applyNumberFormat="1" applyFont="1" applyFill="1" applyBorder="1" applyAlignment="1"/>
    <xf numFmtId="0" fontId="4" fillId="7" borderId="2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Alignment="1">
      <alignment horizontal="left" indent="1"/>
    </xf>
    <xf numFmtId="169" fontId="6" fillId="2" borderId="3" xfId="1" applyNumberFormat="1" applyFont="1" applyFill="1" applyBorder="1" applyAlignment="1">
      <alignment horizontal="center"/>
    </xf>
    <xf numFmtId="44" fontId="1" fillId="0" borderId="0" xfId="0" applyNumberFormat="1" applyFont="1"/>
    <xf numFmtId="169" fontId="1" fillId="2" borderId="3" xfId="1" applyNumberFormat="1" applyFont="1" applyFill="1" applyBorder="1" applyAlignment="1">
      <alignment horizontal="center"/>
    </xf>
    <xf numFmtId="176" fontId="6" fillId="2" borderId="3" xfId="1" applyNumberFormat="1" applyFont="1" applyFill="1" applyBorder="1" applyAlignment="1"/>
    <xf numFmtId="180" fontId="6" fillId="2" borderId="3" xfId="2" applyNumberFormat="1" applyFont="1" applyFill="1" applyBorder="1" applyAlignment="1">
      <alignment horizontal="center"/>
    </xf>
    <xf numFmtId="179" fontId="6" fillId="2" borderId="4" xfId="1" applyNumberFormat="1" applyFont="1" applyFill="1" applyBorder="1" applyAlignment="1">
      <alignment horizontal="center"/>
    </xf>
    <xf numFmtId="179" fontId="6" fillId="2" borderId="3" xfId="1" applyNumberFormat="1" applyFont="1" applyFill="1" applyBorder="1" applyAlignment="1">
      <alignment horizontal="center"/>
    </xf>
    <xf numFmtId="169" fontId="9" fillId="0" borderId="24" xfId="1" applyNumberFormat="1" applyFont="1" applyFill="1" applyBorder="1" applyAlignment="1">
      <alignment horizontal="center"/>
    </xf>
    <xf numFmtId="171" fontId="6" fillId="2" borderId="3" xfId="2" applyNumberFormat="1" applyFont="1" applyFill="1" applyBorder="1"/>
    <xf numFmtId="176" fontId="6" fillId="0" borderId="0" xfId="1" applyNumberFormat="1" applyFont="1" applyFill="1" applyBorder="1"/>
    <xf numFmtId="170" fontId="1" fillId="0" borderId="0" xfId="0" applyNumberFormat="1" applyFont="1" applyBorder="1" applyAlignment="1">
      <alignment horizontal="center"/>
    </xf>
    <xf numFmtId="169" fontId="6" fillId="2" borderId="3" xfId="1" applyNumberFormat="1" applyFont="1" applyFill="1" applyAlignment="1">
      <alignment horizontal="center"/>
    </xf>
    <xf numFmtId="42" fontId="1" fillId="0" borderId="0" xfId="0" applyNumberFormat="1" applyFont="1"/>
    <xf numFmtId="179" fontId="6" fillId="2" borderId="3" xfId="1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Border="1" applyAlignment="1">
      <alignment horizontal="left" indent="1"/>
    </xf>
    <xf numFmtId="171" fontId="1" fillId="0" borderId="0" xfId="0" applyNumberFormat="1" applyFont="1"/>
    <xf numFmtId="0" fontId="1" fillId="0" borderId="1" xfId="0" applyFont="1" applyBorder="1" applyAlignment="1"/>
    <xf numFmtId="0" fontId="1" fillId="0" borderId="2" xfId="0" applyFont="1" applyBorder="1" applyAlignment="1">
      <alignment horizontal="left" indent="1"/>
    </xf>
    <xf numFmtId="0" fontId="1" fillId="0" borderId="2" xfId="0" applyFont="1" applyBorder="1"/>
    <xf numFmtId="42" fontId="1" fillId="0" borderId="0" xfId="0" applyNumberFormat="1" applyFont="1" applyBorder="1"/>
    <xf numFmtId="167" fontId="6" fillId="2" borderId="3" xfId="1" applyNumberFormat="1" applyFont="1" applyFill="1" applyBorder="1" applyAlignment="1">
      <alignment horizontal="center"/>
    </xf>
    <xf numFmtId="169" fontId="6" fillId="2" borderId="3" xfId="1" applyNumberFormat="1" applyFont="1" applyFill="1" applyBorder="1" applyAlignment="1"/>
    <xf numFmtId="167" fontId="6" fillId="2" borderId="3" xfId="1" applyNumberFormat="1" applyFont="1" applyFill="1" applyBorder="1" applyAlignment="1"/>
    <xf numFmtId="165" fontId="1" fillId="0" borderId="0" xfId="0" applyNumberFormat="1" applyFont="1" applyBorder="1" applyAlignment="1"/>
    <xf numFmtId="167" fontId="6" fillId="2" borderId="9" xfId="1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169" fontId="6" fillId="2" borderId="9" xfId="1" applyNumberFormat="1" applyFont="1" applyFill="1" applyBorder="1" applyAlignment="1"/>
    <xf numFmtId="165" fontId="1" fillId="0" borderId="6" xfId="0" applyNumberFormat="1" applyFont="1" applyBorder="1" applyAlignment="1"/>
    <xf numFmtId="165" fontId="1" fillId="0" borderId="10" xfId="0" applyNumberFormat="1" applyFont="1" applyBorder="1" applyAlignment="1"/>
    <xf numFmtId="167" fontId="1" fillId="0" borderId="0" xfId="0" applyNumberFormat="1" applyFont="1" applyBorder="1" applyAlignment="1"/>
    <xf numFmtId="0" fontId="1" fillId="0" borderId="0" xfId="0" applyFont="1" applyFill="1" applyBorder="1" applyAlignment="1">
      <alignment horizontal="left" indent="1"/>
    </xf>
    <xf numFmtId="166" fontId="1" fillId="0" borderId="0" xfId="0" applyNumberFormat="1" applyFont="1" applyBorder="1" applyAlignment="1"/>
    <xf numFmtId="42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41" fontId="1" fillId="0" borderId="0" xfId="0" applyNumberFormat="1" applyFont="1" applyBorder="1"/>
    <xf numFmtId="41" fontId="1" fillId="0" borderId="6" xfId="0" applyNumberFormat="1" applyFont="1" applyBorder="1"/>
    <xf numFmtId="41" fontId="1" fillId="0" borderId="10" xfId="0" applyNumberFormat="1" applyFont="1" applyBorder="1"/>
    <xf numFmtId="0" fontId="1" fillId="0" borderId="6" xfId="0" applyFont="1" applyBorder="1" applyAlignment="1"/>
    <xf numFmtId="0" fontId="1" fillId="0" borderId="10" xfId="0" applyFont="1" applyBorder="1" applyAlignment="1"/>
    <xf numFmtId="169" fontId="9" fillId="2" borderId="9" xfId="1" applyNumberFormat="1" applyFont="1" applyFill="1" applyBorder="1" applyAlignment="1"/>
    <xf numFmtId="169" fontId="9" fillId="2" borderId="3" xfId="1" applyNumberFormat="1" applyFont="1" applyFill="1" applyBorder="1" applyAlignment="1"/>
    <xf numFmtId="169" fontId="10" fillId="0" borderId="0" xfId="1" applyNumberFormat="1" applyFont="1" applyFill="1" applyBorder="1" applyAlignment="1"/>
    <xf numFmtId="0" fontId="1" fillId="0" borderId="7" xfId="0" applyFont="1" applyBorder="1"/>
    <xf numFmtId="0" fontId="1" fillId="0" borderId="8" xfId="0" applyFont="1" applyBorder="1"/>
    <xf numFmtId="168" fontId="1" fillId="0" borderId="0" xfId="0" applyNumberFormat="1" applyFont="1" applyBorder="1"/>
    <xf numFmtId="168" fontId="1" fillId="0" borderId="6" xfId="0" applyNumberFormat="1" applyFont="1" applyBorder="1"/>
    <xf numFmtId="168" fontId="1" fillId="0" borderId="10" xfId="0" applyNumberFormat="1" applyFont="1" applyBorder="1"/>
    <xf numFmtId="169" fontId="6" fillId="2" borderId="11" xfId="1" applyNumberFormat="1" applyFont="1" applyFill="1" applyBorder="1" applyAlignment="1"/>
    <xf numFmtId="169" fontId="6" fillId="2" borderId="4" xfId="1" applyNumberFormat="1" applyFont="1" applyFill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171" fontId="1" fillId="0" borderId="0" xfId="0" applyNumberFormat="1" applyFont="1" applyBorder="1" applyAlignment="1"/>
    <xf numFmtId="43" fontId="1" fillId="0" borderId="0" xfId="0" applyNumberFormat="1" applyFont="1" applyBorder="1" applyAlignment="1"/>
    <xf numFmtId="43" fontId="1" fillId="0" borderId="6" xfId="0" applyNumberFormat="1" applyFont="1" applyBorder="1" applyAlignment="1"/>
    <xf numFmtId="43" fontId="1" fillId="0" borderId="10" xfId="0" applyNumberFormat="1" applyFont="1" applyBorder="1" applyAlignment="1"/>
    <xf numFmtId="43" fontId="6" fillId="2" borderId="9" xfId="1" applyNumberFormat="1" applyFont="1" applyFill="1" applyBorder="1" applyAlignment="1"/>
    <xf numFmtId="43" fontId="6" fillId="2" borderId="3" xfId="1" applyNumberFormat="1" applyFont="1" applyFill="1" applyBorder="1" applyAlignment="1"/>
    <xf numFmtId="169" fontId="1" fillId="0" borderId="0" xfId="0" applyNumberFormat="1" applyFont="1" applyBorder="1"/>
    <xf numFmtId="169" fontId="1" fillId="0" borderId="6" xfId="0" applyNumberFormat="1" applyFont="1" applyBorder="1"/>
    <xf numFmtId="169" fontId="1" fillId="0" borderId="10" xfId="0" applyNumberFormat="1" applyFont="1" applyBorder="1"/>
    <xf numFmtId="170" fontId="1" fillId="0" borderId="0" xfId="0" applyNumberFormat="1" applyFont="1" applyBorder="1" applyAlignment="1"/>
    <xf numFmtId="171" fontId="9" fillId="2" borderId="9" xfId="1" applyNumberFormat="1" applyFont="1" applyFill="1" applyBorder="1" applyAlignment="1"/>
    <xf numFmtId="171" fontId="9" fillId="2" borderId="3" xfId="1" applyNumberFormat="1" applyFont="1" applyFill="1" applyBorder="1" applyAlignment="1"/>
    <xf numFmtId="0" fontId="1" fillId="0" borderId="2" xfId="0" applyFont="1" applyBorder="1" applyAlignment="1">
      <alignment horizontal="left" indent="2"/>
    </xf>
    <xf numFmtId="171" fontId="1" fillId="0" borderId="2" xfId="0" applyNumberFormat="1" applyFont="1" applyBorder="1" applyAlignment="1"/>
    <xf numFmtId="0" fontId="1" fillId="4" borderId="0" xfId="0" applyFont="1" applyFill="1" applyBorder="1" applyAlignment="1">
      <alignment horizontal="left" indent="2"/>
    </xf>
    <xf numFmtId="185" fontId="1" fillId="4" borderId="0" xfId="0" applyNumberFormat="1" applyFont="1" applyFill="1" applyBorder="1" applyAlignment="1"/>
    <xf numFmtId="171" fontId="1" fillId="4" borderId="0" xfId="0" applyNumberFormat="1" applyFont="1" applyFill="1" applyBorder="1" applyAlignment="1"/>
    <xf numFmtId="171" fontId="9" fillId="4" borderId="2" xfId="1" applyNumberFormat="1" applyFont="1" applyFill="1" applyBorder="1" applyAlignment="1"/>
    <xf numFmtId="185" fontId="1" fillId="0" borderId="0" xfId="0" applyNumberFormat="1" applyFont="1"/>
    <xf numFmtId="0" fontId="1" fillId="4" borderId="12" xfId="0" applyFont="1" applyFill="1" applyBorder="1"/>
    <xf numFmtId="171" fontId="1" fillId="0" borderId="0" xfId="0" applyNumberFormat="1" applyFont="1" applyBorder="1"/>
    <xf numFmtId="171" fontId="1" fillId="0" borderId="6" xfId="0" applyNumberFormat="1" applyFont="1" applyBorder="1"/>
    <xf numFmtId="171" fontId="1" fillId="0" borderId="10" xfId="0" applyNumberFormat="1" applyFont="1" applyBorder="1"/>
    <xf numFmtId="0" fontId="1" fillId="0" borderId="2" xfId="0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/>
    <xf numFmtId="0" fontId="1" fillId="4" borderId="12" xfId="0" applyFont="1" applyFill="1" applyBorder="1" applyAlignment="1">
      <alignment horizontal="left" indent="1"/>
    </xf>
    <xf numFmtId="0" fontId="1" fillId="4" borderId="0" xfId="0" applyFont="1" applyFill="1" applyBorder="1" applyAlignment="1">
      <alignment horizontal="left" indent="1"/>
    </xf>
    <xf numFmtId="0" fontId="1" fillId="4" borderId="0" xfId="0" applyFont="1" applyFill="1" applyAlignment="1">
      <alignment horizontal="left" indent="1"/>
    </xf>
    <xf numFmtId="0" fontId="1" fillId="4" borderId="2" xfId="0" applyFont="1" applyFill="1" applyBorder="1" applyAlignment="1">
      <alignment horizontal="left" indent="1"/>
    </xf>
    <xf numFmtId="44" fontId="1" fillId="0" borderId="0" xfId="0" applyNumberFormat="1" applyFont="1" applyAlignment="1"/>
    <xf numFmtId="171" fontId="1" fillId="4" borderId="0" xfId="0" applyNumberFormat="1" applyFont="1" applyFill="1" applyAlignment="1"/>
    <xf numFmtId="171" fontId="1" fillId="4" borderId="2" xfId="0" applyNumberFormat="1" applyFont="1" applyFill="1" applyBorder="1" applyAlignment="1"/>
    <xf numFmtId="171" fontId="9" fillId="0" borderId="2" xfId="1" applyNumberFormat="1" applyFont="1" applyFill="1" applyBorder="1" applyAlignment="1"/>
    <xf numFmtId="171" fontId="9" fillId="4" borderId="0" xfId="1" applyNumberFormat="1" applyFont="1" applyFill="1" applyBorder="1" applyAlignment="1"/>
    <xf numFmtId="171" fontId="1" fillId="0" borderId="6" xfId="0" applyNumberFormat="1" applyFont="1" applyBorder="1" applyAlignment="1"/>
    <xf numFmtId="171" fontId="1" fillId="0" borderId="10" xfId="0" applyNumberFormat="1" applyFont="1" applyBorder="1" applyAlignment="1"/>
    <xf numFmtId="184" fontId="1" fillId="0" borderId="0" xfId="0" applyNumberFormat="1" applyFont="1" applyAlignment="1">
      <alignment horizontal="center"/>
    </xf>
    <xf numFmtId="183" fontId="1" fillId="0" borderId="0" xfId="0" applyNumberFormat="1" applyFont="1" applyAlignment="1">
      <alignment horizontal="center"/>
    </xf>
    <xf numFmtId="185" fontId="1" fillId="0" borderId="2" xfId="0" applyNumberFormat="1" applyFont="1" applyBorder="1" applyAlignment="1"/>
    <xf numFmtId="0" fontId="1" fillId="0" borderId="0" xfId="0" applyFont="1" applyAlignment="1">
      <alignment horizontal="left" indent="2"/>
    </xf>
    <xf numFmtId="43" fontId="1" fillId="0" borderId="0" xfId="0" applyNumberFormat="1" applyFont="1" applyAlignment="1"/>
    <xf numFmtId="187" fontId="1" fillId="0" borderId="0" xfId="0" applyNumberFormat="1" applyFont="1" applyAlignment="1"/>
    <xf numFmtId="0" fontId="22" fillId="5" borderId="2" xfId="0" applyFont="1" applyFill="1" applyBorder="1" applyAlignment="1">
      <alignment horizontal="left"/>
    </xf>
    <xf numFmtId="0" fontId="23" fillId="5" borderId="2" xfId="0" applyFont="1" applyFill="1" applyBorder="1" applyAlignment="1">
      <alignment horizontal="left"/>
    </xf>
    <xf numFmtId="0" fontId="9" fillId="7" borderId="0" xfId="0" applyFont="1" applyFill="1"/>
    <xf numFmtId="175" fontId="9" fillId="0" borderId="0" xfId="0" applyNumberFormat="1" applyFont="1"/>
    <xf numFmtId="0" fontId="9" fillId="0" borderId="1" xfId="0" applyFont="1" applyBorder="1"/>
    <xf numFmtId="0" fontId="9" fillId="7" borderId="2" xfId="0" applyFont="1" applyFill="1" applyBorder="1"/>
    <xf numFmtId="44" fontId="9" fillId="0" borderId="0" xfId="0" applyNumberFormat="1" applyFont="1"/>
    <xf numFmtId="0" fontId="9" fillId="0" borderId="0" xfId="0" applyFont="1" applyFill="1" applyBorder="1"/>
    <xf numFmtId="9" fontId="9" fillId="0" borderId="0" xfId="0" applyNumberFormat="1" applyFont="1" applyBorder="1"/>
    <xf numFmtId="0" fontId="9" fillId="0" borderId="0" xfId="0" applyFont="1" applyBorder="1" applyAlignment="1">
      <alignment horizontal="centerContinuous"/>
    </xf>
    <xf numFmtId="0" fontId="24" fillId="0" borderId="0" xfId="0" applyFont="1"/>
    <xf numFmtId="0" fontId="9" fillId="0" borderId="0" xfId="0" applyFont="1" applyFill="1"/>
    <xf numFmtId="0" fontId="9" fillId="0" borderId="0" xfId="0" applyFont="1" applyBorder="1" applyAlignment="1">
      <alignment horizontal="left" indent="2"/>
    </xf>
    <xf numFmtId="0" fontId="9" fillId="0" borderId="2" xfId="0" applyFont="1" applyBorder="1" applyAlignment="1">
      <alignment horizontal="left" indent="2"/>
    </xf>
    <xf numFmtId="0" fontId="1" fillId="0" borderId="2" xfId="0" applyFont="1" applyFill="1" applyBorder="1" applyAlignment="1">
      <alignment horizontal="left" indent="1"/>
    </xf>
    <xf numFmtId="0" fontId="1" fillId="0" borderId="2" xfId="0" applyFont="1" applyFill="1" applyBorder="1"/>
    <xf numFmtId="169" fontId="9" fillId="0" borderId="0" xfId="1" applyNumberFormat="1" applyFont="1" applyFill="1" applyBorder="1" applyAlignment="1">
      <alignment horizontal="center"/>
    </xf>
    <xf numFmtId="168" fontId="3" fillId="0" borderId="0" xfId="0" applyNumberFormat="1" applyFont="1"/>
    <xf numFmtId="0" fontId="3" fillId="4" borderId="0" xfId="0" applyFont="1" applyFill="1" applyBorder="1" applyAlignment="1">
      <alignment horizontal="center"/>
    </xf>
    <xf numFmtId="44" fontId="9" fillId="0" borderId="0" xfId="0" applyNumberFormat="1" applyFont="1" applyBorder="1"/>
    <xf numFmtId="169" fontId="6" fillId="2" borderId="5" xfId="1" applyNumberFormat="1" applyFont="1" applyFill="1" applyBorder="1" applyAlignment="1">
      <alignment horizontal="center"/>
    </xf>
    <xf numFmtId="181" fontId="6" fillId="2" borderId="5" xfId="1" applyNumberFormat="1" applyFont="1" applyFill="1" applyBorder="1" applyAlignment="1">
      <alignment horizontal="center"/>
    </xf>
    <xf numFmtId="179" fontId="6" fillId="2" borderId="5" xfId="1" applyNumberFormat="1" applyFont="1" applyFill="1" applyBorder="1" applyAlignment="1">
      <alignment horizontal="center"/>
    </xf>
    <xf numFmtId="186" fontId="6" fillId="2" borderId="5" xfId="1" applyNumberFormat="1" applyFont="1" applyFill="1" applyBorder="1" applyAlignment="1">
      <alignment horizontal="center"/>
    </xf>
    <xf numFmtId="182" fontId="6" fillId="2" borderId="5" xfId="1" applyNumberFormat="1" applyFont="1" applyFill="1" applyBorder="1" applyAlignment="1">
      <alignment horizontal="center"/>
    </xf>
    <xf numFmtId="169" fontId="3" fillId="0" borderId="1" xfId="0" applyNumberFormat="1" applyFont="1" applyBorder="1"/>
    <xf numFmtId="169" fontId="4" fillId="0" borderId="1" xfId="0" applyNumberFormat="1" applyFont="1" applyBorder="1"/>
    <xf numFmtId="169" fontId="4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70" fontId="9" fillId="2" borderId="3" xfId="1" applyNumberFormat="1" applyFont="1" applyFill="1" applyAlignment="1"/>
    <xf numFmtId="169" fontId="9" fillId="2" borderId="5" xfId="1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80" fontId="9" fillId="0" borderId="2" xfId="0" applyNumberFormat="1" applyFont="1" applyBorder="1"/>
    <xf numFmtId="180" fontId="4" fillId="0" borderId="0" xfId="0" applyNumberFormat="1" applyFont="1" applyBorder="1"/>
    <xf numFmtId="169" fontId="4" fillId="0" borderId="1" xfId="0" applyNumberFormat="1" applyFont="1" applyBorder="1" applyAlignment="1"/>
    <xf numFmtId="180" fontId="8" fillId="0" borderId="1" xfId="0" applyNumberFormat="1" applyFont="1" applyBorder="1"/>
    <xf numFmtId="169" fontId="6" fillId="0" borderId="0" xfId="0" applyNumberFormat="1" applyFont="1" applyBorder="1"/>
    <xf numFmtId="169" fontId="9" fillId="0" borderId="0" xfId="0" applyNumberFormat="1" applyFont="1" applyBorder="1"/>
    <xf numFmtId="0" fontId="3" fillId="0" borderId="2" xfId="0" applyFont="1" applyFill="1" applyBorder="1" applyAlignment="1">
      <alignment horizontal="center"/>
    </xf>
    <xf numFmtId="0" fontId="15" fillId="6" borderId="2" xfId="0" applyFont="1" applyFill="1" applyBorder="1"/>
    <xf numFmtId="0" fontId="5" fillId="0" borderId="0" xfId="0" applyFont="1" applyBorder="1" applyAlignment="1">
      <alignment horizontal="center"/>
    </xf>
    <xf numFmtId="0" fontId="1" fillId="4" borderId="2" xfId="0" applyFont="1" applyFill="1" applyBorder="1" applyAlignment="1">
      <alignment horizontal="left" indent="2"/>
    </xf>
    <xf numFmtId="171" fontId="4" fillId="0" borderId="6" xfId="0" applyNumberFormat="1" applyFont="1" applyBorder="1" applyAlignment="1"/>
    <xf numFmtId="171" fontId="4" fillId="0" borderId="15" xfId="0" applyNumberFormat="1" applyFont="1" applyBorder="1" applyAlignment="1"/>
    <xf numFmtId="0" fontId="1" fillId="0" borderId="1" xfId="0" applyFont="1" applyBorder="1"/>
    <xf numFmtId="171" fontId="6" fillId="0" borderId="1" xfId="0" applyNumberFormat="1" applyFont="1" applyBorder="1" applyAlignment="1"/>
    <xf numFmtId="171" fontId="6" fillId="0" borderId="7" xfId="0" applyNumberFormat="1" applyFont="1" applyBorder="1" applyAlignment="1"/>
    <xf numFmtId="170" fontId="4" fillId="0" borderId="0" xfId="0" applyNumberFormat="1" applyFont="1" applyBorder="1" applyAlignment="1"/>
    <xf numFmtId="171" fontId="8" fillId="0" borderId="8" xfId="0" applyNumberFormat="1" applyFont="1" applyBorder="1" applyAlignment="1"/>
    <xf numFmtId="171" fontId="4" fillId="0" borderId="10" xfId="0" applyNumberFormat="1" applyFont="1" applyBorder="1" applyAlignment="1"/>
    <xf numFmtId="171" fontId="4" fillId="0" borderId="14" xfId="0" applyNumberFormat="1" applyFont="1" applyBorder="1" applyAlignment="1"/>
    <xf numFmtId="171" fontId="8" fillId="0" borderId="0" xfId="0" applyNumberFormat="1" applyFont="1" applyBorder="1" applyAlignment="1"/>
    <xf numFmtId="170" fontId="1" fillId="0" borderId="0" xfId="0" applyNumberFormat="1" applyFont="1" applyAlignment="1"/>
    <xf numFmtId="171" fontId="6" fillId="0" borderId="0" xfId="0" applyNumberFormat="1" applyFont="1" applyFill="1" applyBorder="1" applyAlignment="1"/>
    <xf numFmtId="171" fontId="16" fillId="0" borderId="0" xfId="0" applyNumberFormat="1" applyFont="1" applyFill="1" applyBorder="1" applyAlignment="1"/>
    <xf numFmtId="171" fontId="16" fillId="0" borderId="10" xfId="0" applyNumberFormat="1" applyFont="1" applyFill="1" applyBorder="1" applyAlignment="1"/>
    <xf numFmtId="171" fontId="9" fillId="0" borderId="0" xfId="0" applyNumberFormat="1" applyFont="1" applyFill="1" applyBorder="1" applyAlignment="1"/>
    <xf numFmtId="171" fontId="6" fillId="0" borderId="10" xfId="0" applyNumberFormat="1" applyFont="1" applyFill="1" applyBorder="1" applyAlignment="1"/>
    <xf numFmtId="170" fontId="9" fillId="0" borderId="1" xfId="0" applyNumberFormat="1" applyFont="1" applyBorder="1"/>
    <xf numFmtId="44" fontId="9" fillId="0" borderId="2" xfId="0" applyNumberFormat="1" applyFont="1" applyFill="1" applyBorder="1"/>
    <xf numFmtId="171" fontId="6" fillId="4" borderId="0" xfId="0" applyNumberFormat="1" applyFont="1" applyFill="1" applyBorder="1"/>
    <xf numFmtId="0" fontId="1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"/>
    </xf>
    <xf numFmtId="171" fontId="6" fillId="0" borderId="0" xfId="0" applyNumberFormat="1" applyFont="1" applyFill="1"/>
    <xf numFmtId="171" fontId="6" fillId="0" borderId="0" xfId="0" applyNumberFormat="1" applyFont="1" applyFill="1" applyAlignment="1"/>
    <xf numFmtId="171" fontId="6" fillId="0" borderId="6" xfId="0" applyNumberFormat="1" applyFont="1" applyFill="1" applyBorder="1" applyAlignment="1"/>
    <xf numFmtId="171" fontId="1" fillId="0" borderId="0" xfId="0" applyNumberFormat="1" applyFont="1" applyFill="1" applyAlignment="1"/>
    <xf numFmtId="170" fontId="6" fillId="0" borderId="0" xfId="0" applyNumberFormat="1" applyFont="1" applyFill="1" applyBorder="1" applyAlignment="1"/>
    <xf numFmtId="170" fontId="6" fillId="0" borderId="6" xfId="0" applyNumberFormat="1" applyFont="1" applyFill="1" applyBorder="1" applyAlignment="1"/>
    <xf numFmtId="170" fontId="16" fillId="0" borderId="10" xfId="0" applyNumberFormat="1" applyFont="1" applyFill="1" applyBorder="1" applyAlignment="1"/>
    <xf numFmtId="170" fontId="9" fillId="0" borderId="0" xfId="0" applyNumberFormat="1" applyFont="1" applyFill="1" applyBorder="1" applyAlignment="1"/>
    <xf numFmtId="171" fontId="6" fillId="0" borderId="2" xfId="0" applyNumberFormat="1" applyFont="1" applyFill="1" applyBorder="1" applyAlignment="1"/>
    <xf numFmtId="171" fontId="6" fillId="0" borderId="15" xfId="0" applyNumberFormat="1" applyFont="1" applyFill="1" applyBorder="1" applyAlignment="1"/>
    <xf numFmtId="171" fontId="16" fillId="0" borderId="14" xfId="0" applyNumberFormat="1" applyFont="1" applyFill="1" applyBorder="1" applyAlignment="1"/>
    <xf numFmtId="171" fontId="9" fillId="0" borderId="2" xfId="0" applyNumberFormat="1" applyFont="1" applyFill="1" applyBorder="1" applyAlignment="1"/>
    <xf numFmtId="0" fontId="1" fillId="0" borderId="0" xfId="0" applyFont="1" applyFill="1" applyBorder="1" applyAlignment="1">
      <alignment horizontal="left" indent="2"/>
    </xf>
    <xf numFmtId="185" fontId="9" fillId="0" borderId="0" xfId="1" applyNumberFormat="1" applyFont="1" applyFill="1" applyBorder="1" applyAlignment="1"/>
    <xf numFmtId="171" fontId="9" fillId="0" borderId="0" xfId="1" applyNumberFormat="1" applyFont="1" applyFill="1" applyBorder="1" applyAlignment="1"/>
    <xf numFmtId="0" fontId="1" fillId="4" borderId="1" xfId="0" applyFont="1" applyFill="1" applyBorder="1" applyAlignment="1">
      <alignment horizontal="left" indent="1"/>
    </xf>
    <xf numFmtId="0" fontId="1" fillId="4" borderId="1" xfId="0" applyFont="1" applyFill="1" applyBorder="1"/>
    <xf numFmtId="0" fontId="3" fillId="4" borderId="1" xfId="0" applyFont="1" applyFill="1" applyBorder="1" applyAlignment="1">
      <alignment horizontal="center"/>
    </xf>
    <xf numFmtId="171" fontId="6" fillId="4" borderId="1" xfId="0" applyNumberFormat="1" applyFont="1" applyFill="1" applyBorder="1" applyAlignment="1"/>
    <xf numFmtId="171" fontId="6" fillId="4" borderId="7" xfId="0" applyNumberFormat="1" applyFont="1" applyFill="1" applyBorder="1" applyAlignment="1"/>
    <xf numFmtId="171" fontId="6" fillId="4" borderId="8" xfId="0" applyNumberFormat="1" applyFont="1" applyFill="1" applyBorder="1" applyAlignment="1"/>
    <xf numFmtId="171" fontId="1" fillId="4" borderId="1" xfId="0" applyNumberFormat="1" applyFont="1" applyFill="1" applyBorder="1"/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71" fontId="16" fillId="4" borderId="7" xfId="0" applyNumberFormat="1" applyFont="1" applyFill="1" applyBorder="1" applyAlignment="1"/>
    <xf numFmtId="171" fontId="16" fillId="4" borderId="1" xfId="0" applyNumberFormat="1" applyFont="1" applyFill="1" applyBorder="1" applyAlignment="1"/>
    <xf numFmtId="171" fontId="16" fillId="4" borderId="8" xfId="0" applyNumberFormat="1" applyFont="1" applyFill="1" applyBorder="1" applyAlignment="1"/>
    <xf numFmtId="171" fontId="9" fillId="4" borderId="1" xfId="0" applyNumberFormat="1" applyFont="1" applyFill="1" applyBorder="1" applyAlignment="1"/>
    <xf numFmtId="0" fontId="1" fillId="0" borderId="0" xfId="0" applyFont="1" applyFill="1" applyAlignment="1">
      <alignment horizontal="left"/>
    </xf>
    <xf numFmtId="10" fontId="6" fillId="0" borderId="0" xfId="0" applyNumberFormat="1" applyFont="1" applyBorder="1"/>
    <xf numFmtId="0" fontId="3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/>
    <xf numFmtId="171" fontId="9" fillId="4" borderId="10" xfId="0" applyNumberFormat="1" applyFont="1" applyFill="1" applyBorder="1" applyAlignment="1"/>
    <xf numFmtId="170" fontId="6" fillId="4" borderId="0" xfId="0" applyNumberFormat="1" applyFont="1" applyFill="1" applyAlignment="1"/>
    <xf numFmtId="170" fontId="16" fillId="4" borderId="6" xfId="0" applyNumberFormat="1" applyFont="1" applyFill="1" applyBorder="1" applyAlignment="1"/>
    <xf numFmtId="170" fontId="9" fillId="4" borderId="10" xfId="0" applyNumberFormat="1" applyFont="1" applyFill="1" applyBorder="1" applyAlignment="1"/>
    <xf numFmtId="170" fontId="9" fillId="4" borderId="0" xfId="0" applyNumberFormat="1" applyFont="1" applyFill="1" applyAlignment="1"/>
    <xf numFmtId="0" fontId="1" fillId="0" borderId="0" xfId="0" applyFont="1" applyAlignment="1">
      <alignment horizontal="center"/>
    </xf>
    <xf numFmtId="171" fontId="1" fillId="0" borderId="2" xfId="0" applyNumberFormat="1" applyFont="1" applyFill="1" applyBorder="1" applyAlignment="1"/>
    <xf numFmtId="184" fontId="6" fillId="0" borderId="0" xfId="0" applyNumberFormat="1" applyFont="1" applyAlignment="1">
      <alignment horizontal="center"/>
    </xf>
    <xf numFmtId="171" fontId="9" fillId="2" borderId="25" xfId="1" applyNumberFormat="1" applyFont="1" applyFill="1" applyBorder="1" applyAlignment="1"/>
    <xf numFmtId="171" fontId="6" fillId="2" borderId="25" xfId="1" applyNumberFormat="1" applyFont="1" applyFill="1" applyBorder="1" applyAlignment="1"/>
    <xf numFmtId="171" fontId="1" fillId="0" borderId="0" xfId="0" applyNumberFormat="1" applyFont="1" applyBorder="1" applyAlignment="1">
      <alignment horizontal="center"/>
    </xf>
    <xf numFmtId="171" fontId="6" fillId="2" borderId="3" xfId="1" applyNumberFormat="1" applyFont="1" applyFill="1" applyBorder="1" applyAlignment="1"/>
    <xf numFmtId="171" fontId="6" fillId="2" borderId="9" xfId="1" applyNumberFormat="1" applyFont="1" applyFill="1" applyBorder="1" applyAlignment="1"/>
    <xf numFmtId="169" fontId="9" fillId="0" borderId="26" xfId="1" applyNumberFormat="1" applyFont="1" applyFill="1" applyBorder="1" applyAlignment="1"/>
    <xf numFmtId="171" fontId="2" fillId="0" borderId="0" xfId="0" applyNumberFormat="1" applyFont="1"/>
    <xf numFmtId="0" fontId="2" fillId="0" borderId="10" xfId="0" applyFont="1" applyBorder="1"/>
    <xf numFmtId="0" fontId="2" fillId="0" borderId="1" xfId="0" applyFont="1" applyBorder="1"/>
    <xf numFmtId="0" fontId="2" fillId="0" borderId="8" xfId="0" applyFont="1" applyBorder="1"/>
    <xf numFmtId="171" fontId="9" fillId="0" borderId="27" xfId="1" applyNumberFormat="1" applyFont="1" applyFill="1" applyBorder="1" applyAlignment="1"/>
    <xf numFmtId="184" fontId="1" fillId="0" borderId="0" xfId="0" applyNumberFormat="1" applyFont="1" applyAlignment="1"/>
    <xf numFmtId="0" fontId="25" fillId="0" borderId="0" xfId="0" applyFont="1"/>
    <xf numFmtId="0" fontId="25" fillId="0" borderId="0" xfId="0" applyFont="1" applyBorder="1"/>
    <xf numFmtId="0" fontId="26" fillId="0" borderId="0" xfId="0" applyFont="1" applyBorder="1"/>
    <xf numFmtId="166" fontId="27" fillId="0" borderId="0" xfId="0" applyNumberFormat="1" applyFont="1" applyBorder="1" applyAlignment="1"/>
    <xf numFmtId="166" fontId="25" fillId="0" borderId="0" xfId="0" applyNumberFormat="1" applyFont="1" applyBorder="1" applyAlignment="1"/>
    <xf numFmtId="166" fontId="6" fillId="0" borderId="2" xfId="0" applyNumberFormat="1" applyFont="1" applyBorder="1" applyAlignment="1"/>
    <xf numFmtId="166" fontId="1" fillId="0" borderId="2" xfId="0" applyNumberFormat="1" applyFont="1" applyBorder="1" applyAlignment="1"/>
    <xf numFmtId="166" fontId="4" fillId="0" borderId="0" xfId="0" applyNumberFormat="1" applyFont="1" applyBorder="1" applyAlignment="1"/>
    <xf numFmtId="0" fontId="8" fillId="0" borderId="1" xfId="0" applyFont="1" applyBorder="1"/>
    <xf numFmtId="166" fontId="6" fillId="0" borderId="1" xfId="0" applyNumberFormat="1" applyFont="1" applyBorder="1" applyAlignment="1"/>
    <xf numFmtId="166" fontId="4" fillId="0" borderId="1" xfId="0" applyNumberFormat="1" applyFont="1" applyBorder="1" applyAlignment="1"/>
    <xf numFmtId="42" fontId="6" fillId="2" borderId="28" xfId="0" applyNumberFormat="1" applyFont="1" applyFill="1" applyBorder="1"/>
    <xf numFmtId="166" fontId="6" fillId="0" borderId="7" xfId="0" applyNumberFormat="1" applyFont="1" applyBorder="1" applyAlignment="1"/>
    <xf numFmtId="166" fontId="6" fillId="0" borderId="8" xfId="0" applyNumberFormat="1" applyFont="1" applyBorder="1" applyAlignment="1"/>
    <xf numFmtId="166" fontId="6" fillId="0" borderId="15" xfId="0" applyNumberFormat="1" applyFont="1" applyBorder="1" applyAlignment="1"/>
    <xf numFmtId="166" fontId="6" fillId="0" borderId="14" xfId="0" applyNumberFormat="1" applyFont="1" applyBorder="1" applyAlignment="1"/>
    <xf numFmtId="0" fontId="3" fillId="0" borderId="0" xfId="0" applyFont="1" applyAlignment="1">
      <alignment horizontal="left" indent="1"/>
    </xf>
    <xf numFmtId="183" fontId="10" fillId="0" borderId="0" xfId="0" applyNumberFormat="1" applyFont="1" applyBorder="1" applyAlignment="1">
      <alignment horizontal="center"/>
    </xf>
    <xf numFmtId="192" fontId="3" fillId="0" borderId="0" xfId="0" applyNumberFormat="1" applyFont="1" applyBorder="1"/>
    <xf numFmtId="183" fontId="3" fillId="0" borderId="0" xfId="0" applyNumberFormat="1" applyFont="1"/>
    <xf numFmtId="171" fontId="10" fillId="0" borderId="0" xfId="0" applyNumberFormat="1" applyFont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171" fontId="10" fillId="0" borderId="2" xfId="0" applyNumberFormat="1" applyFont="1" applyBorder="1" applyAlignment="1">
      <alignment horizontal="center"/>
    </xf>
    <xf numFmtId="190" fontId="4" fillId="0" borderId="1" xfId="0" applyNumberFormat="1" applyFont="1" applyBorder="1"/>
    <xf numFmtId="192" fontId="3" fillId="0" borderId="6" xfId="0" applyNumberFormat="1" applyFont="1" applyBorder="1"/>
    <xf numFmtId="192" fontId="3" fillId="0" borderId="10" xfId="0" applyNumberFormat="1" applyFont="1" applyBorder="1"/>
    <xf numFmtId="183" fontId="3" fillId="0" borderId="6" xfId="0" applyNumberFormat="1" applyFont="1" applyBorder="1"/>
    <xf numFmtId="183" fontId="3" fillId="0" borderId="0" xfId="0" applyNumberFormat="1" applyFont="1" applyBorder="1"/>
    <xf numFmtId="183" fontId="3" fillId="0" borderId="10" xfId="0" applyNumberFormat="1" applyFont="1" applyBorder="1"/>
    <xf numFmtId="0" fontId="9" fillId="0" borderId="6" xfId="0" applyFont="1" applyBorder="1"/>
    <xf numFmtId="0" fontId="9" fillId="0" borderId="10" xfId="0" applyFont="1" applyBorder="1"/>
    <xf numFmtId="193" fontId="9" fillId="0" borderId="6" xfId="0" applyNumberFormat="1" applyFont="1" applyBorder="1"/>
    <xf numFmtId="193" fontId="9" fillId="0" borderId="0" xfId="0" applyNumberFormat="1" applyFont="1" applyBorder="1"/>
    <xf numFmtId="193" fontId="9" fillId="0" borderId="10" xfId="0" applyNumberFormat="1" applyFont="1" applyBorder="1"/>
    <xf numFmtId="0" fontId="9" fillId="7" borderId="15" xfId="0" applyFont="1" applyFill="1" applyBorder="1"/>
    <xf numFmtId="0" fontId="9" fillId="7" borderId="14" xfId="0" applyFont="1" applyFill="1" applyBorder="1"/>
    <xf numFmtId="190" fontId="9" fillId="0" borderId="6" xfId="0" applyNumberFormat="1" applyFont="1" applyBorder="1"/>
    <xf numFmtId="190" fontId="9" fillId="0" borderId="10" xfId="0" applyNumberFormat="1" applyFont="1" applyBorder="1"/>
    <xf numFmtId="171" fontId="9" fillId="0" borderId="6" xfId="0" applyNumberFormat="1" applyFont="1" applyBorder="1"/>
    <xf numFmtId="171" fontId="9" fillId="0" borderId="10" xfId="0" applyNumberFormat="1" applyFont="1" applyBorder="1"/>
    <xf numFmtId="190" fontId="4" fillId="0" borderId="7" xfId="0" applyNumberFormat="1" applyFont="1" applyBorder="1"/>
    <xf numFmtId="190" fontId="4" fillId="0" borderId="8" xfId="0" applyNumberFormat="1" applyFont="1" applyBorder="1"/>
    <xf numFmtId="171" fontId="9" fillId="0" borderId="0" xfId="0" applyNumberFormat="1" applyFont="1" applyFill="1"/>
    <xf numFmtId="185" fontId="1" fillId="0" borderId="0" xfId="0" applyNumberFormat="1" applyFont="1" applyBorder="1" applyAlignment="1"/>
    <xf numFmtId="169" fontId="4" fillId="0" borderId="0" xfId="0" applyNumberFormat="1" applyFont="1" applyBorder="1"/>
    <xf numFmtId="180" fontId="8" fillId="0" borderId="0" xfId="2" applyNumberFormat="1" applyFont="1" applyBorder="1"/>
    <xf numFmtId="171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170" fontId="9" fillId="0" borderId="0" xfId="0" applyNumberFormat="1" applyFont="1"/>
    <xf numFmtId="171" fontId="9" fillId="0" borderId="2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43" fontId="9" fillId="0" borderId="0" xfId="0" applyNumberFormat="1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Font="1"/>
    <xf numFmtId="0" fontId="19" fillId="5" borderId="7" xfId="0" applyFont="1" applyFill="1" applyBorder="1"/>
    <xf numFmtId="0" fontId="19" fillId="5" borderId="1" xfId="0" applyFont="1" applyFill="1" applyBorder="1"/>
    <xf numFmtId="0" fontId="18" fillId="5" borderId="1" xfId="0" applyFont="1" applyFill="1" applyBorder="1" applyAlignment="1">
      <alignment horizontal="centerContinuous"/>
    </xf>
    <xf numFmtId="0" fontId="18" fillId="5" borderId="8" xfId="0" applyFont="1" applyFill="1" applyBorder="1" applyAlignment="1">
      <alignment horizontal="centerContinuous"/>
    </xf>
    <xf numFmtId="0" fontId="19" fillId="5" borderId="6" xfId="0" applyFont="1" applyFill="1" applyBorder="1"/>
    <xf numFmtId="169" fontId="29" fillId="8" borderId="7" xfId="0" applyNumberFormat="1" applyFont="1" applyFill="1" applyBorder="1"/>
    <xf numFmtId="169" fontId="29" fillId="8" borderId="1" xfId="0" applyNumberFormat="1" applyFont="1" applyFill="1" applyBorder="1"/>
    <xf numFmtId="180" fontId="28" fillId="8" borderId="12" xfId="2" applyNumberFormat="1" applyFont="1" applyFill="1" applyBorder="1" applyAlignment="1">
      <alignment horizontal="center"/>
    </xf>
    <xf numFmtId="180" fontId="28" fillId="8" borderId="13" xfId="2" applyNumberFormat="1" applyFont="1" applyFill="1" applyBorder="1" applyAlignment="1">
      <alignment horizontal="center"/>
    </xf>
    <xf numFmtId="44" fontId="18" fillId="8" borderId="6" xfId="2" applyNumberFormat="1" applyFont="1" applyFill="1" applyBorder="1"/>
    <xf numFmtId="168" fontId="18" fillId="8" borderId="10" xfId="2" applyNumberFormat="1" applyFont="1" applyFill="1" applyBorder="1" applyAlignment="1">
      <alignment horizontal="center"/>
    </xf>
    <xf numFmtId="43" fontId="18" fillId="8" borderId="6" xfId="2" applyNumberFormat="1" applyFont="1" applyFill="1" applyBorder="1"/>
    <xf numFmtId="43" fontId="18" fillId="8" borderId="15" xfId="2" applyNumberFormat="1" applyFont="1" applyFill="1" applyBorder="1"/>
    <xf numFmtId="168" fontId="18" fillId="8" borderId="14" xfId="2" applyNumberFormat="1" applyFont="1" applyFill="1" applyBorder="1" applyAlignment="1">
      <alignment horizontal="center"/>
    </xf>
    <xf numFmtId="169" fontId="18" fillId="8" borderId="12" xfId="2" applyNumberFormat="1" applyFont="1" applyFill="1" applyBorder="1" applyAlignment="1">
      <alignment horizontal="center"/>
    </xf>
    <xf numFmtId="169" fontId="18" fillId="8" borderId="13" xfId="2" applyNumberFormat="1" applyFont="1" applyFill="1" applyBorder="1" applyAlignment="1">
      <alignment horizontal="center"/>
    </xf>
    <xf numFmtId="194" fontId="9" fillId="0" borderId="6" xfId="0" applyNumberFormat="1" applyFont="1" applyBorder="1"/>
    <xf numFmtId="194" fontId="9" fillId="0" borderId="0" xfId="0" applyNumberFormat="1" applyFont="1" applyBorder="1"/>
    <xf numFmtId="194" fontId="9" fillId="4" borderId="0" xfId="0" applyNumberFormat="1" applyFont="1" applyFill="1" applyBorder="1"/>
    <xf numFmtId="194" fontId="9" fillId="4" borderId="6" xfId="0" applyNumberFormat="1" applyFont="1" applyFill="1" applyBorder="1"/>
    <xf numFmtId="189" fontId="18" fillId="8" borderId="14" xfId="2" applyNumberFormat="1" applyFont="1" applyFill="1" applyBorder="1" applyAlignment="1">
      <alignment horizontal="center"/>
    </xf>
    <xf numFmtId="43" fontId="18" fillId="8" borderId="15" xfId="2" applyNumberFormat="1" applyFont="1" applyFill="1" applyBorder="1" applyAlignment="1">
      <alignment horizontal="center"/>
    </xf>
    <xf numFmtId="189" fontId="18" fillId="8" borderId="10" xfId="2" applyNumberFormat="1" applyFont="1" applyFill="1" applyBorder="1" applyAlignment="1">
      <alignment horizontal="center"/>
    </xf>
    <xf numFmtId="43" fontId="18" fillId="8" borderId="6" xfId="2" applyNumberFormat="1" applyFont="1" applyFill="1" applyBorder="1" applyAlignment="1">
      <alignment horizontal="center"/>
    </xf>
    <xf numFmtId="194" fontId="9" fillId="0" borderId="6" xfId="0" applyNumberFormat="1" applyFont="1" applyFill="1" applyBorder="1"/>
    <xf numFmtId="194" fontId="9" fillId="0" borderId="0" xfId="0" applyNumberFormat="1" applyFont="1" applyFill="1" applyBorder="1"/>
    <xf numFmtId="0" fontId="19" fillId="5" borderId="12" xfId="0" applyFont="1" applyFill="1" applyBorder="1"/>
    <xf numFmtId="0" fontId="18" fillId="5" borderId="12" xfId="0" applyFont="1" applyFill="1" applyBorder="1" applyAlignment="1">
      <alignment horizontal="centerContinuous"/>
    </xf>
    <xf numFmtId="0" fontId="18" fillId="5" borderId="13" xfId="0" applyFont="1" applyFill="1" applyBorder="1" applyAlignment="1">
      <alignment horizontal="centerContinuous"/>
    </xf>
    <xf numFmtId="169" fontId="18" fillId="8" borderId="6" xfId="0" applyNumberFormat="1" applyFont="1" applyFill="1" applyBorder="1" applyAlignment="1">
      <alignment horizontal="center"/>
    </xf>
    <xf numFmtId="169" fontId="30" fillId="8" borderId="0" xfId="0" applyNumberFormat="1" applyFont="1" applyFill="1" applyBorder="1" applyAlignment="1">
      <alignment horizontal="right"/>
    </xf>
    <xf numFmtId="169" fontId="18" fillId="8" borderId="0" xfId="2" applyNumberFormat="1" applyFont="1" applyFill="1" applyBorder="1" applyAlignment="1">
      <alignment horizontal="center"/>
    </xf>
    <xf numFmtId="169" fontId="18" fillId="8" borderId="10" xfId="2" applyNumberFormat="1" applyFont="1" applyFill="1" applyBorder="1" applyAlignment="1">
      <alignment horizontal="center"/>
    </xf>
    <xf numFmtId="37" fontId="18" fillId="8" borderId="2" xfId="2" applyNumberFormat="1" applyFont="1" applyFill="1" applyBorder="1" applyAlignment="1">
      <alignment horizontal="center"/>
    </xf>
    <xf numFmtId="37" fontId="18" fillId="8" borderId="14" xfId="2" applyNumberFormat="1" applyFont="1" applyFill="1" applyBorder="1" applyAlignment="1">
      <alignment horizontal="center"/>
    </xf>
    <xf numFmtId="169" fontId="29" fillId="8" borderId="6" xfId="0" applyNumberFormat="1" applyFont="1" applyFill="1" applyBorder="1"/>
    <xf numFmtId="169" fontId="29" fillId="8" borderId="0" xfId="0" applyNumberFormat="1" applyFont="1" applyFill="1" applyBorder="1"/>
    <xf numFmtId="169" fontId="18" fillId="8" borderId="2" xfId="2" applyNumberFormat="1" applyFont="1" applyFill="1" applyBorder="1" applyAlignment="1">
      <alignment horizontal="center"/>
    </xf>
    <xf numFmtId="169" fontId="18" fillId="8" borderId="14" xfId="2" applyNumberFormat="1" applyFont="1" applyFill="1" applyBorder="1" applyAlignment="1">
      <alignment horizontal="center"/>
    </xf>
    <xf numFmtId="170" fontId="18" fillId="8" borderId="2" xfId="2" applyNumberFormat="1" applyFont="1" applyFill="1" applyBorder="1" applyAlignment="1">
      <alignment horizontal="center"/>
    </xf>
    <xf numFmtId="170" fontId="18" fillId="8" borderId="14" xfId="2" applyNumberFormat="1" applyFont="1" applyFill="1" applyBorder="1" applyAlignment="1">
      <alignment horizontal="center"/>
    </xf>
    <xf numFmtId="167" fontId="4" fillId="0" borderId="0" xfId="0" applyNumberFormat="1" applyFont="1" applyBorder="1" applyAlignment="1"/>
    <xf numFmtId="164" fontId="6" fillId="2" borderId="3" xfId="0" applyNumberFormat="1" applyFont="1" applyFill="1" applyBorder="1" applyAlignment="1">
      <alignment horizontal="center"/>
    </xf>
    <xf numFmtId="0" fontId="1" fillId="7" borderId="2" xfId="0" applyFont="1" applyFill="1" applyBorder="1"/>
    <xf numFmtId="165" fontId="6" fillId="0" borderId="2" xfId="0" applyNumberFormat="1" applyFont="1" applyBorder="1" applyAlignment="1"/>
    <xf numFmtId="0" fontId="2" fillId="0" borderId="0" xfId="0" applyFont="1" applyBorder="1"/>
    <xf numFmtId="171" fontId="9" fillId="0" borderId="26" xfId="1" applyNumberFormat="1" applyFont="1" applyFill="1" applyBorder="1" applyAlignment="1"/>
    <xf numFmtId="171" fontId="2" fillId="0" borderId="0" xfId="0" applyNumberFormat="1" applyFont="1" applyBorder="1"/>
    <xf numFmtId="171" fontId="6" fillId="2" borderId="23" xfId="0" applyNumberFormat="1" applyFont="1" applyFill="1" applyBorder="1" applyAlignment="1"/>
    <xf numFmtId="165" fontId="6" fillId="0" borderId="1" xfId="0" applyNumberFormat="1" applyFont="1" applyBorder="1" applyAlignment="1"/>
    <xf numFmtId="170" fontId="8" fillId="0" borderId="10" xfId="0" applyNumberFormat="1" applyFont="1" applyBorder="1" applyAlignment="1"/>
    <xf numFmtId="0" fontId="2" fillId="0" borderId="6" xfId="0" applyFont="1" applyBorder="1"/>
    <xf numFmtId="0" fontId="2" fillId="0" borderId="7" xfId="0" applyFont="1" applyBorder="1"/>
    <xf numFmtId="0" fontId="1" fillId="0" borderId="24" xfId="0" applyFont="1" applyBorder="1" applyAlignment="1"/>
    <xf numFmtId="167" fontId="4" fillId="0" borderId="1" xfId="0" applyNumberFormat="1" applyFont="1" applyBorder="1" applyAlignment="1"/>
    <xf numFmtId="165" fontId="1" fillId="0" borderId="1" xfId="0" applyNumberFormat="1" applyFont="1" applyBorder="1" applyAlignment="1"/>
    <xf numFmtId="165" fontId="1" fillId="0" borderId="7" xfId="0" applyNumberFormat="1" applyFont="1" applyBorder="1" applyAlignment="1"/>
    <xf numFmtId="165" fontId="1" fillId="0" borderId="8" xfId="0" applyNumberFormat="1" applyFont="1" applyBorder="1" applyAlignment="1"/>
    <xf numFmtId="170" fontId="6" fillId="4" borderId="0" xfId="0" applyNumberFormat="1" applyFont="1" applyFill="1" applyBorder="1" applyAlignment="1"/>
    <xf numFmtId="171" fontId="16" fillId="4" borderId="16" xfId="0" applyNumberFormat="1" applyFont="1" applyFill="1" applyBorder="1" applyAlignment="1"/>
    <xf numFmtId="172" fontId="3" fillId="0" borderId="10" xfId="0" applyNumberFormat="1" applyFont="1" applyBorder="1"/>
    <xf numFmtId="41" fontId="9" fillId="2" borderId="9" xfId="1" applyNumberFormat="1" applyFont="1" applyFill="1" applyBorder="1" applyAlignment="1"/>
    <xf numFmtId="41" fontId="9" fillId="2" borderId="3" xfId="1" applyNumberFormat="1" applyFont="1" applyFill="1" applyBorder="1" applyAlignment="1"/>
    <xf numFmtId="41" fontId="6" fillId="2" borderId="9" xfId="1" applyNumberFormat="1" applyFont="1" applyFill="1" applyBorder="1" applyAlignment="1"/>
    <xf numFmtId="41" fontId="6" fillId="2" borderId="3" xfId="1" applyNumberFormat="1" applyFont="1" applyFill="1" applyBorder="1" applyAlignment="1"/>
    <xf numFmtId="41" fontId="9" fillId="0" borderId="0" xfId="1" applyNumberFormat="1" applyFont="1" applyFill="1" applyBorder="1" applyAlignment="1"/>
    <xf numFmtId="167" fontId="1" fillId="0" borderId="2" xfId="0" applyNumberFormat="1" applyFont="1" applyBorder="1" applyAlignment="1"/>
    <xf numFmtId="171" fontId="6" fillId="0" borderId="12" xfId="0" applyNumberFormat="1" applyFont="1" applyFill="1" applyBorder="1" applyAlignment="1"/>
    <xf numFmtId="0" fontId="4" fillId="0" borderId="0" xfId="0" applyFont="1" applyFill="1"/>
    <xf numFmtId="170" fontId="4" fillId="0" borderId="0" xfId="0" applyNumberFormat="1" applyFont="1" applyFill="1"/>
    <xf numFmtId="170" fontId="4" fillId="0" borderId="0" xfId="0" applyNumberFormat="1" applyFont="1" applyFill="1" applyAlignment="1"/>
    <xf numFmtId="170" fontId="4" fillId="0" borderId="6" xfId="0" applyNumberFormat="1" applyFont="1" applyFill="1" applyBorder="1" applyAlignment="1"/>
    <xf numFmtId="170" fontId="4" fillId="0" borderId="0" xfId="0" applyNumberFormat="1" applyFont="1" applyFill="1" applyBorder="1" applyAlignment="1"/>
    <xf numFmtId="170" fontId="4" fillId="0" borderId="10" xfId="0" applyNumberFormat="1" applyFont="1" applyFill="1" applyBorder="1" applyAlignment="1"/>
    <xf numFmtId="0" fontId="3" fillId="0" borderId="0" xfId="0" applyFont="1" applyFill="1"/>
    <xf numFmtId="0" fontId="1" fillId="0" borderId="0" xfId="0" applyFont="1" applyFill="1" applyAlignment="1"/>
    <xf numFmtId="0" fontId="1" fillId="0" borderId="6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171" fontId="6" fillId="0" borderId="14" xfId="0" applyNumberFormat="1" applyFont="1" applyFill="1" applyBorder="1" applyAlignment="1"/>
    <xf numFmtId="171" fontId="1" fillId="0" borderId="0" xfId="0" applyNumberFormat="1" applyFont="1" applyFill="1" applyBorder="1" applyAlignment="1"/>
    <xf numFmtId="170" fontId="4" fillId="0" borderId="0" xfId="0" applyNumberFormat="1" applyFont="1" applyFill="1" applyBorder="1"/>
    <xf numFmtId="170" fontId="4" fillId="0" borderId="1" xfId="0" applyNumberFormat="1" applyFont="1" applyFill="1" applyBorder="1"/>
    <xf numFmtId="170" fontId="4" fillId="0" borderId="7" xfId="0" applyNumberFormat="1" applyFont="1" applyFill="1" applyBorder="1"/>
    <xf numFmtId="170" fontId="4" fillId="0" borderId="8" xfId="0" applyNumberFormat="1" applyFont="1" applyFill="1" applyBorder="1"/>
    <xf numFmtId="174" fontId="4" fillId="0" borderId="0" xfId="0" applyNumberFormat="1" applyFont="1" applyFill="1"/>
    <xf numFmtId="174" fontId="4" fillId="0" borderId="6" xfId="0" applyNumberFormat="1" applyFont="1" applyFill="1" applyBorder="1"/>
    <xf numFmtId="174" fontId="4" fillId="0" borderId="0" xfId="0" applyNumberFormat="1" applyFont="1" applyFill="1" applyBorder="1"/>
    <xf numFmtId="174" fontId="4" fillId="0" borderId="10" xfId="0" applyNumberFormat="1" applyFont="1" applyFill="1" applyBorder="1"/>
    <xf numFmtId="170" fontId="4" fillId="0" borderId="6" xfId="0" applyNumberFormat="1" applyFont="1" applyFill="1" applyBorder="1"/>
    <xf numFmtId="170" fontId="4" fillId="0" borderId="10" xfId="0" applyNumberFormat="1" applyFont="1" applyFill="1" applyBorder="1"/>
    <xf numFmtId="43" fontId="1" fillId="0" borderId="0" xfId="0" applyNumberFormat="1" applyFont="1" applyFill="1" applyAlignment="1"/>
    <xf numFmtId="170" fontId="8" fillId="0" borderId="0" xfId="0" applyNumberFormat="1" applyFont="1" applyFill="1" applyBorder="1"/>
    <xf numFmtId="175" fontId="1" fillId="0" borderId="0" xfId="0" applyNumberFormat="1" applyFont="1" applyFill="1"/>
    <xf numFmtId="175" fontId="1" fillId="0" borderId="6" xfId="0" applyNumberFormat="1" applyFont="1" applyFill="1" applyBorder="1"/>
    <xf numFmtId="175" fontId="1" fillId="0" borderId="0" xfId="0" applyNumberFormat="1" applyFont="1" applyFill="1" applyBorder="1"/>
    <xf numFmtId="175" fontId="1" fillId="0" borderId="1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3" fillId="0" borderId="2" xfId="0" applyFont="1" applyFill="1" applyBorder="1"/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indent="2"/>
    </xf>
    <xf numFmtId="171" fontId="6" fillId="0" borderId="12" xfId="0" applyNumberFormat="1" applyFont="1" applyFill="1" applyBorder="1"/>
    <xf numFmtId="171" fontId="6" fillId="0" borderId="16" xfId="0" applyNumberFormat="1" applyFont="1" applyFill="1" applyBorder="1" applyAlignment="1"/>
    <xf numFmtId="171" fontId="6" fillId="0" borderId="13" xfId="0" applyNumberFormat="1" applyFont="1" applyFill="1" applyBorder="1" applyAlignment="1"/>
    <xf numFmtId="171" fontId="8" fillId="0" borderId="12" xfId="1" applyNumberFormat="1" applyFont="1" applyFill="1" applyBorder="1" applyAlignment="1"/>
    <xf numFmtId="0" fontId="1" fillId="0" borderId="6" xfId="0" applyFont="1" applyFill="1" applyBorder="1"/>
    <xf numFmtId="0" fontId="1" fillId="0" borderId="10" xfId="0" applyFont="1" applyFill="1" applyBorder="1"/>
    <xf numFmtId="0" fontId="4" fillId="0" borderId="0" xfId="0" applyFont="1" applyFill="1" applyBorder="1" applyAlignment="1">
      <alignment horizontal="left" indent="1"/>
    </xf>
    <xf numFmtId="171" fontId="1" fillId="0" borderId="0" xfId="0" applyNumberFormat="1" applyFont="1" applyFill="1"/>
    <xf numFmtId="171" fontId="1" fillId="0" borderId="6" xfId="0" applyNumberFormat="1" applyFont="1" applyFill="1" applyBorder="1"/>
    <xf numFmtId="171" fontId="1" fillId="0" borderId="0" xfId="0" applyNumberFormat="1" applyFont="1" applyFill="1" applyBorder="1"/>
    <xf numFmtId="171" fontId="1" fillId="0" borderId="10" xfId="0" applyNumberFormat="1" applyFont="1" applyFill="1" applyBorder="1"/>
    <xf numFmtId="171" fontId="1" fillId="0" borderId="6" xfId="0" applyNumberFormat="1" applyFont="1" applyFill="1" applyBorder="1" applyAlignment="1"/>
    <xf numFmtId="171" fontId="1" fillId="0" borderId="10" xfId="0" applyNumberFormat="1" applyFont="1" applyFill="1" applyBorder="1" applyAlignment="1"/>
    <xf numFmtId="0" fontId="2" fillId="0" borderId="0" xfId="0" applyFont="1" applyFill="1"/>
    <xf numFmtId="170" fontId="2" fillId="0" borderId="0" xfId="0" applyNumberFormat="1" applyFont="1" applyFill="1"/>
    <xf numFmtId="192" fontId="2" fillId="0" borderId="0" xfId="0" applyNumberFormat="1" applyFont="1" applyFill="1"/>
    <xf numFmtId="171" fontId="2" fillId="0" borderId="0" xfId="0" applyNumberFormat="1" applyFont="1" applyFill="1"/>
    <xf numFmtId="192" fontId="4" fillId="0" borderId="0" xfId="0" applyNumberFormat="1" applyFont="1" applyFill="1"/>
    <xf numFmtId="0" fontId="2" fillId="0" borderId="0" xfId="0" applyFont="1" applyFill="1" applyBorder="1"/>
    <xf numFmtId="170" fontId="1" fillId="0" borderId="2" xfId="0" applyNumberFormat="1" applyFont="1" applyBorder="1" applyAlignment="1"/>
    <xf numFmtId="171" fontId="6" fillId="4" borderId="16" xfId="0" applyNumberFormat="1" applyFont="1" applyFill="1" applyBorder="1" applyAlignment="1"/>
    <xf numFmtId="0" fontId="18" fillId="5" borderId="2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1" fontId="6" fillId="2" borderId="31" xfId="1" applyNumberFormat="1" applyFont="1" applyFill="1" applyBorder="1" applyAlignment="1"/>
    <xf numFmtId="0" fontId="2" fillId="0" borderId="0" xfId="0" applyFont="1" applyFill="1" applyAlignment="1"/>
    <xf numFmtId="170" fontId="1" fillId="0" borderId="0" xfId="0" applyNumberFormat="1" applyFont="1" applyFill="1"/>
    <xf numFmtId="0" fontId="9" fillId="0" borderId="0" xfId="0" applyFont="1" applyFill="1" applyAlignment="1">
      <alignment horizontal="left" indent="1"/>
    </xf>
    <xf numFmtId="0" fontId="9" fillId="0" borderId="2" xfId="0" applyFont="1" applyFill="1" applyBorder="1" applyAlignment="1">
      <alignment horizontal="left" indent="1"/>
    </xf>
    <xf numFmtId="171" fontId="16" fillId="0" borderId="2" xfId="0" applyNumberFormat="1" applyFont="1" applyFill="1" applyBorder="1"/>
    <xf numFmtId="171" fontId="4" fillId="0" borderId="0" xfId="0" applyNumberFormat="1" applyFont="1" applyFill="1" applyBorder="1"/>
    <xf numFmtId="171" fontId="1" fillId="0" borderId="2" xfId="0" applyNumberFormat="1" applyFont="1" applyFill="1" applyBorder="1"/>
    <xf numFmtId="180" fontId="9" fillId="0" borderId="0" xfId="0" applyNumberFormat="1" applyFont="1" applyFill="1" applyBorder="1"/>
    <xf numFmtId="169" fontId="1" fillId="0" borderId="0" xfId="0" applyNumberFormat="1" applyFont="1" applyFill="1" applyBorder="1" applyAlignment="1"/>
    <xf numFmtId="180" fontId="9" fillId="0" borderId="2" xfId="0" applyNumberFormat="1" applyFont="1" applyFill="1" applyBorder="1"/>
    <xf numFmtId="191" fontId="9" fillId="2" borderId="3" xfId="1" applyNumberFormat="1" applyFont="1" applyFill="1" applyBorder="1" applyAlignment="1">
      <alignment horizontal="center"/>
    </xf>
    <xf numFmtId="0" fontId="8" fillId="0" borderId="2" xfId="0" applyFont="1" applyBorder="1"/>
  </cellXfs>
  <cellStyles count="3">
    <cellStyle name="Normal" xfId="0" builtinId="0" customBuiltin="1"/>
    <cellStyle name="Normal 2" xfId="2"/>
    <cellStyle name="Note" xfId="1" builtinId="10" customBuiltin="1"/>
  </cellStyles>
  <dxfs count="0"/>
  <tableStyles count="0" defaultTableStyle="TableStyleMedium2" defaultPivotStyle="PivotStyleLight16"/>
  <colors>
    <mruColors>
      <color rgb="FFFFFF99"/>
      <color rgb="FF0000FF"/>
      <color rgb="FF1F497D"/>
      <color rgb="FFDDE4E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J698"/>
  <sheetViews>
    <sheetView showGridLines="0" tabSelected="1" topLeftCell="N452" zoomScaleNormal="100" zoomScaleSheetLayoutView="85" workbookViewId="0">
      <selection activeCell="S454" sqref="S454"/>
    </sheetView>
  </sheetViews>
  <sheetFormatPr defaultRowHeight="14.4" outlineLevelRow="3" outlineLevelCol="1" x14ac:dyDescent="0.3"/>
  <cols>
    <col min="1" max="2" width="2.77734375" style="1" customWidth="1"/>
    <col min="3" max="3" width="20.77734375" style="1" customWidth="1"/>
    <col min="4" max="4" width="20.77734375" style="2" customWidth="1"/>
    <col min="5" max="5" width="10.77734375" style="2" customWidth="1"/>
    <col min="6" max="6" width="10.77734375" style="2" customWidth="1" outlineLevel="1"/>
    <col min="7" max="12" width="10.77734375" style="9" customWidth="1" outlineLevel="1"/>
    <col min="13" max="13" width="10.77734375" style="9" customWidth="1"/>
    <col min="14" max="17" width="10.77734375" style="1" customWidth="1"/>
    <col min="18" max="19" width="2.77734375" style="1" customWidth="1"/>
    <col min="20" max="28" width="10.77734375" style="1" customWidth="1"/>
    <col min="29" max="32" width="8.88671875" style="1"/>
    <col min="33" max="35" width="8.88671875" style="1" customWidth="1"/>
    <col min="36" max="16384" width="8.88671875" style="1"/>
  </cols>
  <sheetData>
    <row r="1" spans="1:24" x14ac:dyDescent="0.3">
      <c r="A1" s="152"/>
      <c r="B1" s="152"/>
      <c r="C1" s="152"/>
      <c r="G1" s="185"/>
      <c r="H1" s="185"/>
      <c r="I1" s="185"/>
      <c r="J1" s="185"/>
      <c r="K1" s="185"/>
      <c r="L1" s="185"/>
      <c r="M1" s="185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4" x14ac:dyDescent="0.3">
      <c r="A2" s="152"/>
      <c r="B2" s="3" t="str">
        <f>Company_name&amp;" - Leveraged Buyout (LBO) Model"</f>
        <v>CEC Entertainment, Inc. - Leveraged Buyout (LBO) Model</v>
      </c>
      <c r="C2" s="152"/>
      <c r="G2" s="185"/>
      <c r="H2" s="185"/>
      <c r="I2" s="185"/>
      <c r="J2" s="185"/>
      <c r="K2" s="185"/>
      <c r="L2" s="185"/>
      <c r="M2" s="185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</row>
    <row r="3" spans="1:24" x14ac:dyDescent="0.3">
      <c r="A3" s="152"/>
      <c r="B3" s="152" t="s">
        <v>427</v>
      </c>
      <c r="C3" s="152"/>
      <c r="G3" s="185"/>
      <c r="H3" s="185"/>
      <c r="I3" s="185"/>
      <c r="J3" s="185"/>
      <c r="K3" s="185"/>
      <c r="L3" s="185"/>
      <c r="M3" s="185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</row>
    <row r="4" spans="1:24" x14ac:dyDescent="0.3">
      <c r="A4" s="152"/>
      <c r="B4" s="152"/>
      <c r="C4" s="152"/>
      <c r="G4" s="185"/>
      <c r="H4" s="185"/>
      <c r="I4" s="185"/>
      <c r="J4" s="185"/>
      <c r="K4" s="185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</row>
    <row r="5" spans="1:24" x14ac:dyDescent="0.3">
      <c r="A5" s="152"/>
      <c r="B5" s="179" t="s">
        <v>77</v>
      </c>
      <c r="C5" s="321"/>
      <c r="D5" s="321"/>
      <c r="E5" s="321"/>
      <c r="F5" s="321"/>
      <c r="G5" s="321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152"/>
    </row>
    <row r="6" spans="1:24" outlineLevel="1" x14ac:dyDescent="0.3">
      <c r="A6" s="152"/>
      <c r="B6" s="7"/>
      <c r="C6" s="222"/>
      <c r="D6" s="4"/>
      <c r="E6" s="4"/>
      <c r="F6" s="4"/>
      <c r="G6" s="223"/>
      <c r="H6" s="223"/>
      <c r="I6" s="4"/>
      <c r="J6" s="223"/>
      <c r="K6" s="223"/>
      <c r="L6" s="152"/>
      <c r="M6" s="152"/>
      <c r="N6" s="152"/>
      <c r="O6" s="152"/>
      <c r="P6" s="152"/>
      <c r="Q6" s="152"/>
      <c r="R6" s="152"/>
    </row>
    <row r="7" spans="1:24" outlineLevel="1" x14ac:dyDescent="0.3">
      <c r="A7" s="152"/>
      <c r="B7" s="152"/>
      <c r="C7" s="152" t="s">
        <v>1</v>
      </c>
      <c r="E7" s="187"/>
      <c r="F7" s="186" t="s">
        <v>7</v>
      </c>
      <c r="G7" s="185"/>
      <c r="I7" s="185" t="s">
        <v>213</v>
      </c>
      <c r="J7" s="185"/>
      <c r="K7" s="185"/>
      <c r="M7" s="57">
        <v>43.34</v>
      </c>
      <c r="N7" s="152"/>
      <c r="O7" s="152"/>
      <c r="Q7" s="152"/>
      <c r="R7" s="152"/>
    </row>
    <row r="8" spans="1:24" outlineLevel="1" x14ac:dyDescent="0.3">
      <c r="A8" s="152"/>
      <c r="B8" s="152"/>
      <c r="C8" s="148" t="s">
        <v>206</v>
      </c>
      <c r="D8" s="152"/>
      <c r="F8" s="183" t="s">
        <v>207</v>
      </c>
      <c r="G8" s="152"/>
      <c r="I8" s="224" t="s">
        <v>214</v>
      </c>
      <c r="J8" s="152"/>
      <c r="K8" s="152"/>
      <c r="M8" s="225">
        <v>0.24596215966774326</v>
      </c>
      <c r="N8" s="152"/>
      <c r="O8" s="152"/>
      <c r="Q8" s="152"/>
      <c r="R8" s="152"/>
    </row>
    <row r="9" spans="1:24" outlineLevel="1" x14ac:dyDescent="0.3">
      <c r="A9" s="152"/>
      <c r="B9" s="152"/>
      <c r="C9" s="152"/>
      <c r="D9" s="152"/>
      <c r="F9" s="152"/>
      <c r="G9" s="152"/>
      <c r="I9" s="185" t="s">
        <v>215</v>
      </c>
      <c r="J9" s="185"/>
      <c r="K9" s="185"/>
      <c r="M9" s="226">
        <f>+Share_Price*(1+M8)</f>
        <v>54</v>
      </c>
      <c r="N9" s="152"/>
      <c r="O9" s="152"/>
      <c r="Q9" s="152"/>
      <c r="R9" s="152"/>
    </row>
    <row r="10" spans="1:24" outlineLevel="1" x14ac:dyDescent="0.3">
      <c r="A10" s="152"/>
      <c r="B10" s="152"/>
      <c r="C10" s="148" t="s">
        <v>6</v>
      </c>
      <c r="D10" s="152"/>
      <c r="F10" s="219">
        <v>41639</v>
      </c>
      <c r="G10" s="152"/>
      <c r="I10" s="185"/>
      <c r="J10" s="185"/>
      <c r="K10" s="185"/>
      <c r="M10" s="203"/>
      <c r="N10" s="152"/>
      <c r="O10" s="152"/>
      <c r="Q10" s="152"/>
      <c r="R10" s="152"/>
    </row>
    <row r="11" spans="1:24" outlineLevel="1" x14ac:dyDescent="0.3">
      <c r="A11" s="152"/>
      <c r="B11" s="152"/>
      <c r="C11" s="152"/>
      <c r="D11" s="152"/>
      <c r="F11" s="152"/>
      <c r="G11" s="152"/>
      <c r="I11" s="185" t="s">
        <v>216</v>
      </c>
      <c r="J11" s="185"/>
      <c r="K11" s="185"/>
      <c r="M11" s="227">
        <f>AVERAGE(F307:I307)</f>
        <v>0.38646955309452646</v>
      </c>
      <c r="N11" s="152"/>
      <c r="O11" s="152"/>
      <c r="Q11" s="152"/>
      <c r="R11" s="152"/>
    </row>
    <row r="12" spans="1:24" outlineLevel="1" x14ac:dyDescent="0.3">
      <c r="A12" s="152"/>
      <c r="B12" s="152"/>
      <c r="C12" s="152" t="s">
        <v>208</v>
      </c>
      <c r="D12" s="152"/>
      <c r="F12" s="228">
        <v>17.530840999999999</v>
      </c>
      <c r="G12" s="152"/>
      <c r="I12" s="185" t="s">
        <v>217</v>
      </c>
      <c r="J12" s="185"/>
      <c r="K12" s="185"/>
      <c r="M12" s="56">
        <v>1000</v>
      </c>
      <c r="N12" s="152"/>
      <c r="O12" s="152"/>
      <c r="Q12" s="152"/>
      <c r="R12" s="152"/>
    </row>
    <row r="13" spans="1:24" outlineLevel="1" x14ac:dyDescent="0.3">
      <c r="A13" s="152"/>
      <c r="B13" s="152"/>
      <c r="C13" s="152" t="s">
        <v>209</v>
      </c>
      <c r="D13" s="152"/>
      <c r="E13" s="152"/>
      <c r="F13" s="228">
        <v>0</v>
      </c>
      <c r="G13" s="152"/>
      <c r="I13" s="152" t="s">
        <v>126</v>
      </c>
      <c r="J13" s="152"/>
      <c r="K13" s="152"/>
      <c r="M13" s="184">
        <v>10000</v>
      </c>
      <c r="N13" s="152"/>
      <c r="O13" s="152"/>
      <c r="Q13" s="152"/>
      <c r="R13" s="152"/>
    </row>
    <row r="14" spans="1:24" outlineLevel="1" x14ac:dyDescent="0.3">
      <c r="A14" s="152"/>
      <c r="B14" s="152"/>
      <c r="C14" s="152"/>
      <c r="D14" s="152"/>
      <c r="F14" s="152"/>
      <c r="G14" s="152"/>
      <c r="I14" s="152"/>
      <c r="J14" s="152"/>
      <c r="K14" s="152"/>
      <c r="M14" s="152"/>
      <c r="N14" s="152"/>
      <c r="O14" s="152"/>
      <c r="Q14" s="152"/>
      <c r="R14" s="152"/>
    </row>
    <row r="15" spans="1:24" outlineLevel="1" x14ac:dyDescent="0.3">
      <c r="A15" s="152"/>
      <c r="B15" s="152"/>
      <c r="C15" s="152" t="s">
        <v>210</v>
      </c>
      <c r="D15" s="152"/>
      <c r="F15" s="50">
        <v>0</v>
      </c>
      <c r="G15" s="152"/>
      <c r="I15" s="152" t="s">
        <v>421</v>
      </c>
      <c r="J15" s="185"/>
      <c r="K15" s="185"/>
      <c r="M15" s="225">
        <v>0</v>
      </c>
      <c r="N15" s="185"/>
      <c r="O15" s="185"/>
      <c r="Q15" s="152"/>
      <c r="R15" s="152"/>
    </row>
    <row r="16" spans="1:24" outlineLevel="1" x14ac:dyDescent="0.3">
      <c r="A16" s="152"/>
      <c r="B16" s="152"/>
      <c r="C16" s="152" t="s">
        <v>211</v>
      </c>
      <c r="D16" s="152"/>
      <c r="F16" s="50">
        <v>1</v>
      </c>
      <c r="G16" s="152"/>
      <c r="I16" s="152" t="s">
        <v>420</v>
      </c>
      <c r="J16" s="185"/>
      <c r="K16" s="185"/>
      <c r="M16" s="225">
        <v>0</v>
      </c>
      <c r="N16" s="185"/>
      <c r="O16" s="185"/>
      <c r="Q16" s="152"/>
      <c r="R16" s="152"/>
    </row>
    <row r="17" spans="1:18" outlineLevel="1" x14ac:dyDescent="0.3">
      <c r="A17" s="152"/>
      <c r="B17" s="152"/>
      <c r="C17" s="152"/>
      <c r="D17" s="152"/>
      <c r="F17" s="152"/>
      <c r="G17" s="152"/>
      <c r="I17" s="152" t="s">
        <v>419</v>
      </c>
      <c r="J17" s="185"/>
      <c r="K17" s="185"/>
      <c r="M17" s="225">
        <v>0</v>
      </c>
      <c r="N17" s="185"/>
      <c r="O17" s="185"/>
      <c r="Q17" s="152"/>
      <c r="R17" s="152"/>
    </row>
    <row r="18" spans="1:18" outlineLevel="1" x14ac:dyDescent="0.3">
      <c r="A18" s="152"/>
      <c r="B18" s="152"/>
      <c r="C18" s="152" t="s">
        <v>212</v>
      </c>
      <c r="D18" s="152"/>
      <c r="F18" s="229">
        <v>7.9061214980368453</v>
      </c>
      <c r="G18" s="152"/>
      <c r="I18" s="152" t="s">
        <v>423</v>
      </c>
      <c r="J18" s="185"/>
      <c r="K18" s="185"/>
      <c r="M18" s="225">
        <v>0</v>
      </c>
      <c r="N18" s="152"/>
      <c r="O18" s="152"/>
      <c r="Q18" s="152"/>
      <c r="R18" s="152"/>
    </row>
    <row r="19" spans="1:18" outlineLevel="1" x14ac:dyDescent="0.3">
      <c r="A19" s="152"/>
      <c r="B19" s="152"/>
      <c r="C19" s="152" t="s">
        <v>402</v>
      </c>
      <c r="D19" s="152"/>
      <c r="F19" s="533">
        <v>42004</v>
      </c>
      <c r="G19" s="152"/>
      <c r="I19" s="152"/>
      <c r="J19" s="185"/>
      <c r="K19" s="185"/>
      <c r="M19" s="152"/>
      <c r="N19" s="152"/>
      <c r="O19" s="152"/>
      <c r="P19" s="152"/>
      <c r="Q19" s="152"/>
      <c r="R19" s="152"/>
    </row>
    <row r="20" spans="1:18" outlineLevel="1" x14ac:dyDescent="0.3">
      <c r="A20" s="152"/>
      <c r="B20" s="152"/>
      <c r="C20" s="185"/>
      <c r="D20" s="185"/>
      <c r="E20" s="185"/>
      <c r="F20" s="185"/>
      <c r="G20" s="152"/>
      <c r="I20" s="2"/>
      <c r="J20" s="185"/>
      <c r="K20" s="185"/>
      <c r="M20" s="185"/>
      <c r="N20" s="185"/>
      <c r="O20" s="185"/>
      <c r="P20" s="185"/>
      <c r="Q20" s="152"/>
      <c r="R20" s="152"/>
    </row>
    <row r="21" spans="1:18" outlineLevel="2" x14ac:dyDescent="0.3">
      <c r="A21" s="152"/>
      <c r="B21" s="152"/>
      <c r="C21" s="3" t="s">
        <v>218</v>
      </c>
      <c r="D21" s="148"/>
      <c r="E21" s="148"/>
      <c r="F21" s="148"/>
      <c r="G21" s="148"/>
      <c r="I21" s="3" t="s">
        <v>219</v>
      </c>
      <c r="J21" s="148"/>
      <c r="K21" s="148"/>
      <c r="M21" s="148"/>
      <c r="N21" s="185"/>
      <c r="O21" s="185"/>
      <c r="P21" s="203"/>
      <c r="Q21" s="152"/>
      <c r="R21" s="152"/>
    </row>
    <row r="22" spans="1:18" outlineLevel="2" x14ac:dyDescent="0.3">
      <c r="A22" s="152"/>
      <c r="B22" s="152"/>
      <c r="C22" s="58"/>
      <c r="D22" s="42"/>
      <c r="E22" s="188"/>
      <c r="F22" s="188"/>
      <c r="G22" s="41"/>
      <c r="I22" s="148"/>
      <c r="J22" s="148"/>
      <c r="K22" s="148"/>
      <c r="M22" s="148"/>
      <c r="N22" s="152"/>
      <c r="O22" s="152"/>
      <c r="P22" s="152"/>
      <c r="Q22" s="152"/>
      <c r="R22" s="152"/>
    </row>
    <row r="23" spans="1:18" outlineLevel="2" x14ac:dyDescent="0.3">
      <c r="A23" s="152"/>
      <c r="B23" s="152"/>
      <c r="C23" s="148" t="s">
        <v>220</v>
      </c>
      <c r="D23" s="188"/>
      <c r="E23" s="188"/>
      <c r="F23" s="189">
        <f>+Basic_Shares+F31</f>
        <v>17.530840999999999</v>
      </c>
      <c r="G23" s="152"/>
      <c r="I23" s="148" t="s">
        <v>221</v>
      </c>
      <c r="J23" s="148"/>
      <c r="K23" s="148"/>
      <c r="M23" s="189">
        <f>+Basic_Shares+M31</f>
        <v>17.530840999999999</v>
      </c>
      <c r="N23" s="152"/>
      <c r="O23" s="152"/>
      <c r="P23" s="152"/>
      <c r="Q23" s="152"/>
      <c r="R23" s="152"/>
    </row>
    <row r="24" spans="1:18" outlineLevel="2" x14ac:dyDescent="0.3">
      <c r="A24" s="152"/>
      <c r="B24" s="152"/>
      <c r="C24" s="148"/>
      <c r="D24" s="148"/>
      <c r="E24" s="148"/>
      <c r="F24" s="148"/>
      <c r="G24" s="148"/>
      <c r="I24" s="148"/>
      <c r="J24" s="148"/>
      <c r="K24" s="148"/>
      <c r="M24" s="148"/>
      <c r="N24" s="152"/>
      <c r="O24" s="152"/>
      <c r="P24" s="152"/>
      <c r="Q24" s="152"/>
      <c r="R24" s="152"/>
    </row>
    <row r="25" spans="1:18" outlineLevel="2" x14ac:dyDescent="0.3">
      <c r="A25" s="152"/>
      <c r="B25" s="152"/>
      <c r="C25" s="190" t="s">
        <v>222</v>
      </c>
      <c r="D25" s="323"/>
      <c r="E25" s="323"/>
      <c r="F25" s="323"/>
      <c r="G25" s="152"/>
      <c r="I25" s="190" t="s">
        <v>223</v>
      </c>
      <c r="J25" s="323"/>
      <c r="K25" s="323"/>
      <c r="L25" s="323"/>
      <c r="M25" s="323"/>
      <c r="N25" s="152"/>
      <c r="O25" s="152"/>
      <c r="P25" s="152"/>
      <c r="Q25" s="152"/>
      <c r="R25" s="152"/>
    </row>
    <row r="26" spans="1:18" outlineLevel="2" x14ac:dyDescent="0.3">
      <c r="A26" s="152"/>
      <c r="B26" s="152"/>
      <c r="C26" s="190"/>
      <c r="D26" s="323"/>
      <c r="E26" s="323"/>
      <c r="F26" s="323"/>
      <c r="G26" s="152"/>
      <c r="I26" s="190"/>
      <c r="J26" s="323"/>
      <c r="K26" s="323"/>
      <c r="L26" s="323"/>
      <c r="M26" s="323"/>
      <c r="N26" s="152"/>
      <c r="O26" s="152"/>
      <c r="P26" s="152"/>
      <c r="Q26" s="152"/>
      <c r="R26" s="152"/>
    </row>
    <row r="27" spans="1:18" outlineLevel="2" x14ac:dyDescent="0.3">
      <c r="A27" s="152"/>
      <c r="B27" s="152"/>
      <c r="C27" s="323"/>
      <c r="D27" s="191" t="s">
        <v>123</v>
      </c>
      <c r="E27" s="191" t="s">
        <v>2</v>
      </c>
      <c r="F27" s="323"/>
      <c r="G27" s="152"/>
      <c r="I27" s="323"/>
      <c r="J27" s="191" t="s">
        <v>123</v>
      </c>
      <c r="K27" s="191" t="s">
        <v>2</v>
      </c>
      <c r="L27" s="191"/>
      <c r="M27" s="323"/>
      <c r="N27" s="152"/>
      <c r="O27" s="152"/>
      <c r="P27" s="152"/>
      <c r="Q27" s="152"/>
      <c r="R27" s="152"/>
    </row>
    <row r="28" spans="1:18" outlineLevel="2" x14ac:dyDescent="0.3">
      <c r="A28" s="152"/>
      <c r="B28" s="152"/>
      <c r="C28" s="192" t="s">
        <v>224</v>
      </c>
      <c r="D28" s="192" t="s">
        <v>225</v>
      </c>
      <c r="E28" s="192" t="s">
        <v>226</v>
      </c>
      <c r="F28" s="192" t="s">
        <v>227</v>
      </c>
      <c r="G28" s="152"/>
      <c r="I28" s="192" t="s">
        <v>224</v>
      </c>
      <c r="J28" s="192" t="s">
        <v>225</v>
      </c>
      <c r="K28" s="192" t="s">
        <v>226</v>
      </c>
      <c r="L28" s="192"/>
      <c r="M28" s="192" t="s">
        <v>227</v>
      </c>
      <c r="N28" s="152"/>
      <c r="O28" s="152"/>
      <c r="P28" s="152"/>
      <c r="Q28" s="152"/>
      <c r="R28" s="152"/>
    </row>
    <row r="29" spans="1:18" outlineLevel="2" x14ac:dyDescent="0.3">
      <c r="A29" s="152"/>
      <c r="B29" s="152"/>
      <c r="C29" s="60" t="s">
        <v>228</v>
      </c>
      <c r="D29" s="193"/>
      <c r="E29" s="194"/>
      <c r="F29" s="195">
        <f>IFERROR(IF(E29&gt;Share_Price,0,D29-D29*E29/Share_Price),0)</f>
        <v>0</v>
      </c>
      <c r="G29" s="152"/>
      <c r="I29" s="149" t="str">
        <f>+C29</f>
        <v>Options A</v>
      </c>
      <c r="J29" s="195">
        <f>+D29</f>
        <v>0</v>
      </c>
      <c r="K29" s="196"/>
      <c r="M29" s="324">
        <f>IFERROR(IF(K29&gt;Offer_Price,0,J29-J29*K29/Offer_Price),0)</f>
        <v>0</v>
      </c>
      <c r="N29" s="152"/>
      <c r="O29" s="152"/>
      <c r="P29" s="152"/>
      <c r="Q29" s="152"/>
      <c r="R29" s="152"/>
    </row>
    <row r="30" spans="1:18" outlineLevel="2" x14ac:dyDescent="0.3">
      <c r="A30" s="152"/>
      <c r="B30" s="152"/>
      <c r="C30" s="147" t="s">
        <v>229</v>
      </c>
      <c r="D30" s="193"/>
      <c r="E30" s="194"/>
      <c r="F30" s="195">
        <f>IFERROR(IF(E30&gt;Share_Price,0,D30-D30*E30/Share_Price),0)</f>
        <v>0</v>
      </c>
      <c r="G30" s="152"/>
      <c r="I30" s="149" t="str">
        <f>+C30</f>
        <v>Options B</v>
      </c>
      <c r="J30" s="195">
        <f>+D30</f>
        <v>0</v>
      </c>
      <c r="K30" s="196"/>
      <c r="L30" s="380"/>
      <c r="M30" s="324">
        <f>IFERROR(IF(K30&gt;Offer_Price,0,J30-J30*K30/Offer_Price),0)</f>
        <v>0</v>
      </c>
      <c r="N30" s="152"/>
      <c r="O30" s="152"/>
      <c r="P30" s="152"/>
      <c r="Q30" s="152"/>
      <c r="R30" s="152"/>
    </row>
    <row r="31" spans="1:18" outlineLevel="2" x14ac:dyDescent="0.3">
      <c r="A31" s="152"/>
      <c r="B31" s="152"/>
      <c r="C31" s="8" t="s">
        <v>230</v>
      </c>
      <c r="D31" s="197">
        <f>SUM(D29:D30)</f>
        <v>0</v>
      </c>
      <c r="E31" s="325"/>
      <c r="F31" s="197">
        <f>SUM(F29:F30)</f>
        <v>0</v>
      </c>
      <c r="G31" s="152"/>
      <c r="I31" s="8" t="s">
        <v>230</v>
      </c>
      <c r="J31" s="197">
        <f>SUM(J29:J30)</f>
        <v>0</v>
      </c>
      <c r="K31" s="325"/>
      <c r="M31" s="197">
        <f>SUM(M29:M30)</f>
        <v>0</v>
      </c>
      <c r="N31" s="152"/>
      <c r="O31" s="152"/>
      <c r="P31" s="152"/>
      <c r="Q31" s="152"/>
      <c r="R31" s="152"/>
    </row>
    <row r="32" spans="1:18" outlineLevel="2" x14ac:dyDescent="0.3">
      <c r="A32" s="152"/>
      <c r="B32" s="152"/>
      <c r="C32" s="148"/>
      <c r="D32" s="148"/>
      <c r="E32" s="148"/>
      <c r="F32" s="148"/>
      <c r="G32" s="148"/>
      <c r="I32" s="148"/>
      <c r="J32" s="148"/>
      <c r="K32" s="148"/>
      <c r="M32" s="148"/>
      <c r="N32" s="152"/>
      <c r="O32" s="152"/>
      <c r="P32" s="152"/>
      <c r="Q32" s="152"/>
      <c r="R32" s="152"/>
    </row>
    <row r="33" spans="1:18" outlineLevel="2" x14ac:dyDescent="0.3">
      <c r="A33" s="152"/>
      <c r="B33" s="152"/>
      <c r="C33" s="134" t="s">
        <v>231</v>
      </c>
      <c r="D33" s="150"/>
      <c r="E33" s="198"/>
      <c r="F33" s="204">
        <f>+F23*Share_Price</f>
        <v>759.78664893999996</v>
      </c>
      <c r="G33" s="152"/>
      <c r="I33" s="134" t="s">
        <v>232</v>
      </c>
      <c r="J33" s="150"/>
      <c r="K33" s="198"/>
      <c r="L33" s="198"/>
      <c r="M33" s="204">
        <f>+M23*Offer_Price</f>
        <v>946.66541399999994</v>
      </c>
      <c r="N33" s="152"/>
      <c r="O33" s="152"/>
      <c r="P33" s="152"/>
      <c r="Q33" s="152"/>
      <c r="R33" s="152"/>
    </row>
    <row r="34" spans="1:18" outlineLevel="2" x14ac:dyDescent="0.3">
      <c r="A34" s="152"/>
      <c r="B34" s="152"/>
      <c r="C34" s="60" t="s">
        <v>3</v>
      </c>
      <c r="D34" s="148"/>
      <c r="E34" s="188"/>
      <c r="F34" s="51">
        <f>-I342</f>
        <v>-20.686000000000075</v>
      </c>
      <c r="G34" s="152"/>
      <c r="I34" s="60" t="s">
        <v>3</v>
      </c>
      <c r="J34" s="148"/>
      <c r="K34" s="188"/>
      <c r="M34" s="51">
        <f t="shared" ref="M34:M43" si="0">+F34</f>
        <v>-20.686000000000075</v>
      </c>
      <c r="N34" s="152"/>
      <c r="O34" s="152"/>
      <c r="P34" s="152"/>
      <c r="Q34" s="152"/>
      <c r="R34" s="152"/>
    </row>
    <row r="35" spans="1:18" outlineLevel="2" x14ac:dyDescent="0.3">
      <c r="A35" s="152"/>
      <c r="B35" s="152"/>
      <c r="C35" s="60" t="s">
        <v>233</v>
      </c>
      <c r="D35" s="148"/>
      <c r="E35" s="188"/>
      <c r="F35" s="45">
        <v>0</v>
      </c>
      <c r="G35" s="152"/>
      <c r="I35" s="60" t="s">
        <v>233</v>
      </c>
      <c r="J35" s="148"/>
      <c r="K35" s="188"/>
      <c r="M35" s="51">
        <f t="shared" si="0"/>
        <v>0</v>
      </c>
      <c r="N35" s="152"/>
      <c r="O35" s="152"/>
      <c r="P35" s="152"/>
      <c r="Q35" s="152"/>
      <c r="R35" s="152"/>
    </row>
    <row r="36" spans="1:18" outlineLevel="2" x14ac:dyDescent="0.3">
      <c r="A36" s="152"/>
      <c r="B36" s="152"/>
      <c r="C36" s="60" t="s">
        <v>234</v>
      </c>
      <c r="D36" s="148"/>
      <c r="E36" s="188"/>
      <c r="F36" s="45">
        <v>0</v>
      </c>
      <c r="G36" s="152"/>
      <c r="I36" s="60" t="s">
        <v>234</v>
      </c>
      <c r="J36" s="148"/>
      <c r="K36" s="188"/>
      <c r="M36" s="51">
        <f t="shared" si="0"/>
        <v>0</v>
      </c>
      <c r="N36" s="152"/>
      <c r="O36" s="152"/>
      <c r="P36" s="152"/>
      <c r="Q36" s="152"/>
      <c r="R36" s="152"/>
    </row>
    <row r="37" spans="1:18" outlineLevel="2" x14ac:dyDescent="0.3">
      <c r="A37" s="152"/>
      <c r="B37" s="152"/>
      <c r="C37" s="60" t="s">
        <v>235</v>
      </c>
      <c r="D37" s="148"/>
      <c r="E37" s="188"/>
      <c r="F37" s="45">
        <v>0</v>
      </c>
      <c r="G37" s="152"/>
      <c r="I37" s="60" t="s">
        <v>235</v>
      </c>
      <c r="J37" s="148"/>
      <c r="K37" s="188"/>
      <c r="M37" s="51">
        <f t="shared" si="0"/>
        <v>0</v>
      </c>
      <c r="N37" s="152"/>
      <c r="O37" s="152"/>
      <c r="P37" s="152"/>
      <c r="Q37" s="152"/>
      <c r="R37" s="152"/>
    </row>
    <row r="38" spans="1:18" outlineLevel="2" x14ac:dyDescent="0.3">
      <c r="A38" s="152"/>
      <c r="B38" s="152"/>
      <c r="C38" s="60" t="s">
        <v>236</v>
      </c>
      <c r="D38" s="148"/>
      <c r="E38" s="188"/>
      <c r="F38" s="51">
        <f>+I368</f>
        <v>361.5</v>
      </c>
      <c r="G38" s="152"/>
      <c r="I38" s="60" t="s">
        <v>236</v>
      </c>
      <c r="J38" s="148"/>
      <c r="K38" s="188"/>
      <c r="M38" s="51">
        <f t="shared" si="0"/>
        <v>361.5</v>
      </c>
      <c r="N38" s="152"/>
      <c r="O38" s="152"/>
      <c r="P38" s="152"/>
      <c r="Q38" s="152"/>
      <c r="R38" s="152"/>
    </row>
    <row r="39" spans="1:18" outlineLevel="2" x14ac:dyDescent="0.3">
      <c r="A39" s="152"/>
      <c r="B39" s="152"/>
      <c r="C39" s="60" t="s">
        <v>122</v>
      </c>
      <c r="D39" s="148"/>
      <c r="E39" s="188"/>
      <c r="F39" s="199">
        <v>0</v>
      </c>
      <c r="G39" s="152"/>
      <c r="I39" s="60" t="s">
        <v>122</v>
      </c>
      <c r="J39" s="148"/>
      <c r="K39" s="188"/>
      <c r="M39" s="200">
        <f t="shared" si="0"/>
        <v>0</v>
      </c>
      <c r="N39" s="152"/>
      <c r="O39" s="152"/>
      <c r="P39" s="152"/>
      <c r="Q39" s="152"/>
      <c r="R39" s="152"/>
    </row>
    <row r="40" spans="1:18" outlineLevel="2" x14ac:dyDescent="0.3">
      <c r="A40" s="152"/>
      <c r="B40" s="152"/>
      <c r="C40" s="60" t="s">
        <v>121</v>
      </c>
      <c r="D40" s="148"/>
      <c r="E40" s="188"/>
      <c r="F40" s="199">
        <v>0</v>
      </c>
      <c r="G40" s="152"/>
      <c r="I40" s="60" t="s">
        <v>121</v>
      </c>
      <c r="J40" s="148"/>
      <c r="K40" s="188"/>
      <c r="M40" s="200">
        <f t="shared" si="0"/>
        <v>0</v>
      </c>
      <c r="N40" s="152"/>
      <c r="O40" s="152"/>
      <c r="P40" s="152"/>
      <c r="Q40" s="152"/>
      <c r="R40" s="152"/>
    </row>
    <row r="41" spans="1:18" outlineLevel="2" x14ac:dyDescent="0.3">
      <c r="A41" s="152"/>
      <c r="B41" s="152"/>
      <c r="C41" s="60" t="s">
        <v>237</v>
      </c>
      <c r="D41" s="148"/>
      <c r="E41" s="188"/>
      <c r="F41" s="199">
        <v>0</v>
      </c>
      <c r="G41" s="152"/>
      <c r="I41" s="60" t="s">
        <v>237</v>
      </c>
      <c r="J41" s="148"/>
      <c r="K41" s="188"/>
      <c r="M41" s="200">
        <f t="shared" si="0"/>
        <v>0</v>
      </c>
      <c r="N41" s="152"/>
      <c r="O41" s="152"/>
      <c r="P41" s="152"/>
      <c r="Q41" s="152"/>
      <c r="R41" s="152"/>
    </row>
    <row r="42" spans="1:18" outlineLevel="2" x14ac:dyDescent="0.3">
      <c r="A42" s="152"/>
      <c r="B42" s="152"/>
      <c r="C42" s="60" t="s">
        <v>129</v>
      </c>
      <c r="D42" s="148"/>
      <c r="E42" s="188"/>
      <c r="F42" s="200">
        <f>+I369</f>
        <v>21.379000000000001</v>
      </c>
      <c r="G42" s="152"/>
      <c r="I42" s="60" t="s">
        <v>129</v>
      </c>
      <c r="J42" s="148"/>
      <c r="K42" s="188"/>
      <c r="M42" s="200">
        <f t="shared" si="0"/>
        <v>21.379000000000001</v>
      </c>
      <c r="N42" s="152"/>
      <c r="O42" s="152"/>
      <c r="P42" s="152"/>
      <c r="Q42" s="152"/>
      <c r="R42" s="152"/>
    </row>
    <row r="43" spans="1:18" outlineLevel="2" x14ac:dyDescent="0.3">
      <c r="A43" s="152"/>
      <c r="B43" s="152"/>
      <c r="C43" s="60" t="s">
        <v>238</v>
      </c>
      <c r="D43" s="150"/>
      <c r="E43" s="198"/>
      <c r="F43" s="201">
        <v>0</v>
      </c>
      <c r="G43" s="152"/>
      <c r="I43" s="60" t="s">
        <v>238</v>
      </c>
      <c r="J43" s="150"/>
      <c r="K43" s="198"/>
      <c r="L43" s="198"/>
      <c r="M43" s="202">
        <f t="shared" si="0"/>
        <v>0</v>
      </c>
      <c r="N43" s="152"/>
      <c r="O43" s="152"/>
      <c r="P43" s="152"/>
      <c r="Q43" s="152"/>
      <c r="R43" s="152"/>
    </row>
    <row r="44" spans="1:18" outlineLevel="2" x14ac:dyDescent="0.3">
      <c r="A44" s="152"/>
      <c r="B44" s="152"/>
      <c r="C44" s="8" t="s">
        <v>4</v>
      </c>
      <c r="D44" s="148"/>
      <c r="E44" s="188"/>
      <c r="F44" s="47">
        <f>SUM(F33:F43)</f>
        <v>1121.9796489399998</v>
      </c>
      <c r="G44" s="152"/>
      <c r="I44" s="8" t="s">
        <v>239</v>
      </c>
      <c r="J44" s="148"/>
      <c r="K44" s="188"/>
      <c r="M44" s="47">
        <f>SUM(M33:M43)</f>
        <v>1308.8584139999998</v>
      </c>
      <c r="N44" s="152"/>
      <c r="O44" s="152"/>
      <c r="P44" s="152"/>
      <c r="Q44" s="152"/>
      <c r="R44" s="152"/>
    </row>
    <row r="45" spans="1:18" outlineLevel="2" x14ac:dyDescent="0.3">
      <c r="A45" s="152"/>
      <c r="B45" s="152"/>
      <c r="C45" s="152"/>
      <c r="D45" s="152"/>
      <c r="F45" s="152"/>
      <c r="G45" s="152"/>
      <c r="I45" s="152"/>
      <c r="J45" s="152"/>
      <c r="K45" s="152"/>
      <c r="M45" s="152"/>
      <c r="N45" s="152"/>
      <c r="O45" s="152"/>
      <c r="P45" s="152"/>
      <c r="Q45" s="152"/>
      <c r="R45" s="152"/>
    </row>
    <row r="46" spans="1:18" outlineLevel="1" x14ac:dyDescent="0.3">
      <c r="A46" s="152"/>
      <c r="B46" s="152"/>
      <c r="C46" s="205" t="s">
        <v>240</v>
      </c>
      <c r="D46" s="326"/>
      <c r="E46" s="326"/>
      <c r="F46" s="192" t="s">
        <v>241</v>
      </c>
      <c r="G46" s="152"/>
      <c r="I46" s="205" t="s">
        <v>242</v>
      </c>
      <c r="J46" s="326"/>
      <c r="K46" s="326"/>
      <c r="L46" s="326"/>
      <c r="M46" s="192" t="str">
        <f>+$F$46</f>
        <v>$ in Millions</v>
      </c>
      <c r="N46" s="152"/>
      <c r="O46" s="152"/>
      <c r="P46" s="152"/>
      <c r="Q46" s="152"/>
      <c r="R46" s="152"/>
    </row>
    <row r="47" spans="1:18" outlineLevel="1" x14ac:dyDescent="0.3">
      <c r="A47" s="152"/>
      <c r="B47" s="152"/>
      <c r="C47" s="60" t="s">
        <v>243</v>
      </c>
      <c r="D47" s="58"/>
      <c r="E47" s="58"/>
      <c r="F47" s="206">
        <f>+F33</f>
        <v>759.78664893999996</v>
      </c>
      <c r="G47" s="207"/>
      <c r="I47" s="60" t="s">
        <v>232</v>
      </c>
      <c r="J47" s="58"/>
      <c r="K47" s="58"/>
      <c r="M47" s="206">
        <f>+M33</f>
        <v>946.66541399999994</v>
      </c>
      <c r="N47" s="152"/>
      <c r="O47" s="152"/>
      <c r="P47" s="152"/>
      <c r="Q47" s="152"/>
      <c r="R47" s="152"/>
    </row>
    <row r="48" spans="1:18" outlineLevel="1" x14ac:dyDescent="0.3">
      <c r="A48" s="152"/>
      <c r="B48" s="152"/>
      <c r="C48" s="60" t="s">
        <v>244</v>
      </c>
      <c r="D48" s="58"/>
      <c r="E48" s="58"/>
      <c r="F48" s="51">
        <f>+F44</f>
        <v>1121.9796489399998</v>
      </c>
      <c r="G48" s="51"/>
      <c r="I48" s="60" t="s">
        <v>239</v>
      </c>
      <c r="J48" s="58"/>
      <c r="K48" s="58"/>
      <c r="M48" s="51">
        <f>+M44</f>
        <v>1308.8584139999998</v>
      </c>
      <c r="N48" s="152"/>
      <c r="O48" s="152"/>
      <c r="P48" s="152"/>
      <c r="Q48" s="152"/>
      <c r="R48" s="152"/>
    </row>
    <row r="49" spans="1:18" outlineLevel="1" x14ac:dyDescent="0.3">
      <c r="A49" s="152"/>
      <c r="B49" s="152"/>
      <c r="C49" s="60"/>
      <c r="D49" s="58"/>
      <c r="E49" s="58"/>
      <c r="F49" s="51"/>
      <c r="G49" s="208"/>
      <c r="I49" s="60"/>
      <c r="J49" s="58"/>
      <c r="K49" s="58"/>
      <c r="M49" s="51"/>
      <c r="N49" s="185"/>
      <c r="O49" s="185"/>
      <c r="P49" s="185"/>
      <c r="Q49" s="152"/>
      <c r="R49" s="152"/>
    </row>
    <row r="50" spans="1:18" outlineLevel="1" x14ac:dyDescent="0.3">
      <c r="A50" s="152"/>
      <c r="B50" s="152"/>
      <c r="C50" s="149" t="s">
        <v>245</v>
      </c>
      <c r="D50" s="148"/>
      <c r="E50" s="148"/>
      <c r="F50" s="209">
        <f>+F$48/$I$267</f>
        <v>1.3654021850968878</v>
      </c>
      <c r="G50" s="209"/>
      <c r="I50" s="149" t="s">
        <v>245</v>
      </c>
      <c r="J50" s="148"/>
      <c r="K50" s="148"/>
      <c r="M50" s="209">
        <f>+M$48/$I$267</f>
        <v>1.592825805839208</v>
      </c>
      <c r="N50" s="185"/>
      <c r="O50" s="185"/>
      <c r="P50" s="152"/>
      <c r="Q50" s="152"/>
      <c r="R50" s="152"/>
    </row>
    <row r="51" spans="1:18" outlineLevel="1" x14ac:dyDescent="0.3">
      <c r="A51" s="152"/>
      <c r="B51" s="152"/>
      <c r="C51" s="60" t="s">
        <v>246</v>
      </c>
      <c r="D51" s="148"/>
      <c r="E51" s="148"/>
      <c r="F51" s="209">
        <f>+F$48/$I$312</f>
        <v>6.7772857078828137</v>
      </c>
      <c r="G51" s="209"/>
      <c r="I51" s="60" t="s">
        <v>246</v>
      </c>
      <c r="J51" s="148"/>
      <c r="K51" s="148"/>
      <c r="M51" s="209">
        <f>+M$48/$I$312</f>
        <v>7.9061214980368453</v>
      </c>
      <c r="N51" s="185"/>
      <c r="O51" s="185"/>
      <c r="P51" s="152"/>
      <c r="Q51" s="152"/>
      <c r="R51" s="152"/>
    </row>
    <row r="52" spans="1:18" outlineLevel="1" x14ac:dyDescent="0.3">
      <c r="A52" s="152"/>
      <c r="B52" s="152"/>
      <c r="C52" s="60" t="s">
        <v>247</v>
      </c>
      <c r="D52" s="148"/>
      <c r="E52" s="148"/>
      <c r="F52" s="209">
        <f>+F$48/$M$267</f>
        <v>1.3283135479158452</v>
      </c>
      <c r="G52" s="209"/>
      <c r="I52" s="60" t="s">
        <v>247</v>
      </c>
      <c r="J52" s="148"/>
      <c r="K52" s="148"/>
      <c r="M52" s="209">
        <f>+M$48/$M$267</f>
        <v>1.54955962459959</v>
      </c>
      <c r="N52" s="185"/>
      <c r="O52" s="185"/>
      <c r="P52" s="185"/>
      <c r="Q52" s="152"/>
      <c r="R52" s="152"/>
    </row>
    <row r="53" spans="1:18" outlineLevel="1" x14ac:dyDescent="0.3">
      <c r="A53" s="152"/>
      <c r="B53" s="152"/>
      <c r="C53" s="60" t="s">
        <v>248</v>
      </c>
      <c r="D53" s="148"/>
      <c r="E53" s="148"/>
      <c r="F53" s="209">
        <f>+F$48/$M$312</f>
        <v>6.3555691137052257</v>
      </c>
      <c r="G53" s="209"/>
      <c r="I53" s="60" t="s">
        <v>248</v>
      </c>
      <c r="J53" s="148"/>
      <c r="K53" s="148"/>
      <c r="M53" s="209">
        <f>+M$48/$M$312</f>
        <v>7.4141630983152149</v>
      </c>
      <c r="N53" s="185"/>
      <c r="O53" s="185"/>
      <c r="P53" s="185"/>
      <c r="Q53" s="152"/>
      <c r="R53" s="152"/>
    </row>
    <row r="54" spans="1:18" outlineLevel="1" x14ac:dyDescent="0.3">
      <c r="A54" s="152"/>
      <c r="B54" s="152"/>
      <c r="C54" s="58"/>
      <c r="D54" s="152"/>
      <c r="F54" s="152"/>
      <c r="G54" s="152"/>
      <c r="I54" s="152"/>
      <c r="J54" s="152"/>
      <c r="K54" s="152"/>
      <c r="M54" s="152"/>
      <c r="N54" s="152"/>
      <c r="O54" s="152"/>
      <c r="P54" s="152"/>
      <c r="Q54" s="152"/>
      <c r="R54" s="152"/>
    </row>
    <row r="55" spans="1:18" outlineLevel="1" x14ac:dyDescent="0.3">
      <c r="A55" s="152"/>
      <c r="B55" s="152"/>
      <c r="C55" s="205" t="s">
        <v>249</v>
      </c>
      <c r="D55" s="326"/>
      <c r="E55" s="192" t="s">
        <v>269</v>
      </c>
      <c r="F55" s="192" t="str">
        <f>+$F$46</f>
        <v>$ in Millions</v>
      </c>
      <c r="G55" s="211"/>
      <c r="I55" s="205" t="s">
        <v>251</v>
      </c>
      <c r="J55" s="326"/>
      <c r="K55" s="326"/>
      <c r="L55" s="192" t="s">
        <v>252</v>
      </c>
      <c r="M55" s="192" t="str">
        <f>+$F$46</f>
        <v>$ in Millions</v>
      </c>
      <c r="N55" s="152"/>
      <c r="O55" s="152"/>
      <c r="P55" s="152"/>
      <c r="Q55" s="152"/>
      <c r="R55" s="152"/>
    </row>
    <row r="56" spans="1:18" outlineLevel="1" x14ac:dyDescent="0.3">
      <c r="A56" s="152"/>
      <c r="B56" s="152"/>
      <c r="C56" s="60" t="s">
        <v>125</v>
      </c>
      <c r="D56" s="58"/>
      <c r="E56" s="230">
        <v>1.37E-2</v>
      </c>
      <c r="F56" s="212">
        <f>+E56*M47</f>
        <v>12.969316171799999</v>
      </c>
      <c r="G56" s="216"/>
      <c r="I56" s="60" t="s">
        <v>120</v>
      </c>
      <c r="J56" s="58"/>
      <c r="L56" s="225">
        <v>0.74</v>
      </c>
      <c r="M56" s="379">
        <f>+L56*$F$71</f>
        <v>1014.4917003271321</v>
      </c>
      <c r="N56" s="152"/>
      <c r="O56" s="152"/>
      <c r="P56" s="152"/>
      <c r="Q56" s="152"/>
      <c r="R56" s="152"/>
    </row>
    <row r="57" spans="1:18" outlineLevel="1" x14ac:dyDescent="0.3">
      <c r="A57" s="152"/>
      <c r="B57" s="152"/>
      <c r="C57" s="147" t="s">
        <v>135</v>
      </c>
      <c r="D57" s="58"/>
      <c r="E57" s="231">
        <v>2.75E-2</v>
      </c>
      <c r="F57" s="218">
        <f>IF(Circ_Ref,+E57*M56,27.8)</f>
        <v>27.8</v>
      </c>
      <c r="G57" s="200"/>
      <c r="I57" s="60" t="s">
        <v>253</v>
      </c>
      <c r="J57" s="60"/>
      <c r="L57" s="232">
        <f>1-L56</f>
        <v>0.26</v>
      </c>
      <c r="M57" s="51">
        <f>+L57*$F$71</f>
        <v>356.44302984466805</v>
      </c>
      <c r="Q57" s="152"/>
      <c r="R57" s="152"/>
    </row>
    <row r="58" spans="1:18" outlineLevel="1" x14ac:dyDescent="0.3">
      <c r="A58" s="152"/>
      <c r="B58" s="152"/>
      <c r="C58" s="60" t="s">
        <v>266</v>
      </c>
      <c r="D58" s="152"/>
      <c r="E58" s="246">
        <v>15</v>
      </c>
      <c r="F58" s="1"/>
      <c r="G58" s="200"/>
      <c r="H58" s="60"/>
      <c r="I58" s="60"/>
      <c r="J58" s="337"/>
      <c r="K58" s="51"/>
      <c r="L58" s="207"/>
      <c r="M58" s="1"/>
      <c r="Q58" s="152"/>
      <c r="R58" s="152"/>
    </row>
    <row r="59" spans="1:18" outlineLevel="1" x14ac:dyDescent="0.3">
      <c r="A59" s="152"/>
      <c r="B59" s="152"/>
      <c r="C59" s="147" t="s">
        <v>267</v>
      </c>
      <c r="D59" s="58"/>
      <c r="E59" s="58"/>
      <c r="F59" s="218">
        <f>+F57/E58</f>
        <v>1.8533333333333333</v>
      </c>
      <c r="G59" s="200"/>
      <c r="H59" s="60"/>
      <c r="I59" s="60"/>
      <c r="J59" s="337"/>
      <c r="K59" s="51"/>
      <c r="L59" s="207"/>
      <c r="M59" s="1"/>
      <c r="Q59" s="152"/>
      <c r="R59" s="152"/>
    </row>
    <row r="60" spans="1:18" outlineLevel="1" x14ac:dyDescent="0.3">
      <c r="A60" s="152"/>
      <c r="B60" s="152"/>
      <c r="C60" s="147" t="s">
        <v>250</v>
      </c>
      <c r="D60" s="148"/>
      <c r="E60" s="148"/>
      <c r="F60" s="213">
        <v>22</v>
      </c>
      <c r="G60" s="200"/>
      <c r="H60" s="51"/>
      <c r="I60" s="152"/>
      <c r="J60" s="1"/>
      <c r="K60" s="1"/>
      <c r="L60" s="1"/>
      <c r="M60" s="1"/>
      <c r="Q60" s="152"/>
      <c r="R60" s="152"/>
    </row>
    <row r="61" spans="1:18" outlineLevel="1" x14ac:dyDescent="0.3">
      <c r="A61" s="152"/>
      <c r="B61" s="152"/>
      <c r="C61" s="147"/>
      <c r="D61" s="148"/>
      <c r="E61" s="148"/>
      <c r="F61" s="148"/>
      <c r="G61" s="200"/>
      <c r="H61" s="58"/>
      <c r="I61" s="152"/>
      <c r="J61" s="1"/>
      <c r="K61" s="1"/>
      <c r="L61" s="1"/>
      <c r="M61" s="1"/>
      <c r="Q61" s="152"/>
      <c r="R61" s="152"/>
    </row>
    <row r="62" spans="1:18" outlineLevel="1" x14ac:dyDescent="0.3">
      <c r="A62" s="152"/>
      <c r="B62" s="152"/>
      <c r="C62" s="60" t="s">
        <v>124</v>
      </c>
      <c r="D62" s="58"/>
      <c r="E62" s="148"/>
      <c r="F62" s="233">
        <v>15</v>
      </c>
      <c r="G62" s="200"/>
      <c r="H62" s="1"/>
      <c r="I62" s="152"/>
      <c r="J62" s="1"/>
      <c r="K62" s="1"/>
      <c r="L62" s="1"/>
      <c r="M62" s="1"/>
      <c r="Q62" s="152"/>
      <c r="R62" s="152"/>
    </row>
    <row r="63" spans="1:18" outlineLevel="1" x14ac:dyDescent="0.3">
      <c r="A63" s="152"/>
      <c r="B63" s="152"/>
      <c r="C63" s="147" t="s">
        <v>268</v>
      </c>
      <c r="D63" s="148"/>
      <c r="E63" s="148"/>
      <c r="F63" s="218">
        <f>MAX(0,-F34-Min_Cash)</f>
        <v>5.6860000000000746</v>
      </c>
      <c r="G63" s="200"/>
      <c r="H63" s="152"/>
      <c r="I63" s="152"/>
      <c r="J63" s="1"/>
      <c r="K63" s="1"/>
      <c r="L63" s="1"/>
      <c r="M63" s="148"/>
      <c r="N63" s="152"/>
      <c r="O63" s="152"/>
      <c r="P63" s="152"/>
      <c r="Q63" s="152"/>
      <c r="R63" s="152"/>
    </row>
    <row r="64" spans="1:18" outlineLevel="1" x14ac:dyDescent="0.3">
      <c r="A64" s="152"/>
      <c r="B64" s="152"/>
      <c r="C64" s="148"/>
      <c r="D64" s="148"/>
      <c r="E64" s="148"/>
      <c r="F64" s="148"/>
      <c r="G64" s="328"/>
      <c r="H64" s="152"/>
      <c r="I64" s="152"/>
      <c r="J64" s="152"/>
      <c r="K64" s="241"/>
      <c r="L64" s="51"/>
      <c r="M64" s="148"/>
      <c r="N64" s="152"/>
      <c r="O64" s="152"/>
      <c r="P64" s="152"/>
      <c r="Q64" s="152"/>
      <c r="R64" s="152"/>
    </row>
    <row r="65" spans="1:30" outlineLevel="1" x14ac:dyDescent="0.3">
      <c r="A65" s="152"/>
      <c r="B65" s="152"/>
      <c r="C65" s="205" t="s">
        <v>113</v>
      </c>
      <c r="D65" s="326"/>
      <c r="E65" s="326"/>
      <c r="F65" s="192" t="str">
        <f>+$F$46</f>
        <v>$ in Millions</v>
      </c>
      <c r="G65" s="211"/>
      <c r="H65" s="51"/>
      <c r="I65" s="152"/>
      <c r="J65" s="152"/>
      <c r="K65" s="241"/>
      <c r="L65" s="51"/>
      <c r="M65" s="148"/>
      <c r="N65" s="152"/>
      <c r="O65" s="152"/>
      <c r="P65" s="152"/>
      <c r="Q65" s="152"/>
      <c r="R65" s="152"/>
    </row>
    <row r="66" spans="1:30" outlineLevel="1" x14ac:dyDescent="0.3">
      <c r="A66" s="152"/>
      <c r="B66" s="152"/>
      <c r="C66" s="60" t="s">
        <v>114</v>
      </c>
      <c r="D66" s="148"/>
      <c r="E66" s="148"/>
      <c r="F66" s="41">
        <f>+M47</f>
        <v>946.66541399999994</v>
      </c>
      <c r="G66" s="216"/>
      <c r="H66" s="51"/>
      <c r="I66" s="152"/>
      <c r="J66" s="152"/>
      <c r="K66" s="152"/>
      <c r="L66" s="214"/>
      <c r="M66" s="148"/>
      <c r="N66" s="152"/>
      <c r="O66" s="152"/>
      <c r="P66" s="152"/>
      <c r="Q66" s="152"/>
      <c r="R66" s="152"/>
    </row>
    <row r="67" spans="1:30" outlineLevel="1" x14ac:dyDescent="0.3">
      <c r="A67" s="152"/>
      <c r="B67" s="152"/>
      <c r="C67" s="147" t="s">
        <v>115</v>
      </c>
      <c r="D67" s="148"/>
      <c r="E67" s="148"/>
      <c r="F67" s="51">
        <f>+Refinance_Debt*F38</f>
        <v>361.5</v>
      </c>
      <c r="G67" s="200"/>
      <c r="H67" s="215"/>
      <c r="I67" s="152"/>
      <c r="J67" s="152"/>
      <c r="K67" s="152"/>
      <c r="L67" s="327"/>
      <c r="M67" s="148"/>
      <c r="N67" s="152"/>
      <c r="O67" s="152"/>
      <c r="P67" s="152"/>
      <c r="Q67" s="152"/>
      <c r="R67" s="152"/>
    </row>
    <row r="68" spans="1:30" outlineLevel="1" x14ac:dyDescent="0.3">
      <c r="A68" s="152"/>
      <c r="B68" s="152"/>
      <c r="C68" s="147" t="s">
        <v>271</v>
      </c>
      <c r="D68" s="148"/>
      <c r="E68" s="148"/>
      <c r="F68" s="51">
        <f>+F56+F57+F60</f>
        <v>62.7693161718</v>
      </c>
      <c r="G68" s="1"/>
      <c r="H68" s="58"/>
      <c r="I68" s="152"/>
      <c r="J68" s="152"/>
      <c r="K68" s="152"/>
      <c r="L68" s="148"/>
      <c r="M68" s="148"/>
      <c r="N68" s="152"/>
      <c r="O68" s="152"/>
      <c r="P68" s="152"/>
      <c r="Q68" s="152"/>
      <c r="R68" s="152"/>
    </row>
    <row r="69" spans="1:30" outlineLevel="1" x14ac:dyDescent="0.3">
      <c r="A69" s="152"/>
      <c r="B69" s="152"/>
      <c r="C69" s="147" t="s">
        <v>116</v>
      </c>
      <c r="D69" s="148"/>
      <c r="E69" s="148"/>
      <c r="F69" s="213">
        <v>0</v>
      </c>
      <c r="G69" s="200"/>
      <c r="H69" s="148"/>
      <c r="I69" s="340"/>
      <c r="J69" s="152"/>
      <c r="K69" s="152"/>
      <c r="L69" s="148"/>
      <c r="M69" s="148"/>
      <c r="N69" s="152"/>
      <c r="O69" s="152"/>
      <c r="P69" s="152"/>
      <c r="Q69" s="152"/>
      <c r="R69" s="152"/>
    </row>
    <row r="70" spans="1:30" outlineLevel="1" x14ac:dyDescent="0.3">
      <c r="A70" s="152"/>
      <c r="B70" s="152"/>
      <c r="C70" s="147" t="s">
        <v>254</v>
      </c>
      <c r="D70" s="148"/>
      <c r="E70" s="148"/>
      <c r="F70" s="51">
        <f>-Rollover_Shares*Offer_Price</f>
        <v>0</v>
      </c>
      <c r="G70" s="200"/>
      <c r="H70" s="148"/>
      <c r="I70" s="58"/>
      <c r="J70" s="152"/>
      <c r="K70" s="152"/>
      <c r="L70" s="148"/>
      <c r="M70" s="148"/>
      <c r="N70" s="152"/>
      <c r="O70" s="152"/>
      <c r="P70" s="152"/>
      <c r="Q70" s="152"/>
      <c r="R70" s="152"/>
    </row>
    <row r="71" spans="1:30" outlineLevel="1" x14ac:dyDescent="0.3">
      <c r="A71" s="152"/>
      <c r="B71" s="152"/>
      <c r="C71" s="8" t="s">
        <v>270</v>
      </c>
      <c r="D71" s="325"/>
      <c r="E71" s="325"/>
      <c r="F71" s="46">
        <f>SUM(F66:F70)</f>
        <v>1370.9347301718001</v>
      </c>
      <c r="G71" s="217"/>
      <c r="H71" s="148"/>
      <c r="I71" s="58"/>
      <c r="J71" s="152"/>
      <c r="K71" s="152"/>
      <c r="L71" s="148"/>
      <c r="M71" s="148"/>
      <c r="N71" s="152"/>
      <c r="O71" s="152"/>
      <c r="P71" s="152"/>
      <c r="Q71" s="152"/>
      <c r="R71" s="152"/>
    </row>
    <row r="72" spans="1:30" x14ac:dyDescent="0.3">
      <c r="A72" s="152"/>
      <c r="B72" s="152"/>
      <c r="C72" s="152"/>
      <c r="D72" s="234"/>
      <c r="E72" s="152"/>
      <c r="G72" s="185"/>
      <c r="H72" s="185"/>
      <c r="I72" s="185"/>
      <c r="J72" s="185"/>
      <c r="K72" s="185"/>
      <c r="L72" s="185"/>
      <c r="M72" s="185"/>
      <c r="N72" s="152"/>
      <c r="O72" s="152"/>
      <c r="P72" s="152"/>
      <c r="Q72" s="152"/>
      <c r="R72" s="152"/>
    </row>
    <row r="73" spans="1:30" x14ac:dyDescent="0.3">
      <c r="A73" s="152"/>
      <c r="B73" s="179" t="s">
        <v>119</v>
      </c>
      <c r="C73" s="321"/>
      <c r="D73" s="321"/>
      <c r="E73" s="321"/>
      <c r="F73" s="321"/>
      <c r="G73" s="321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152"/>
    </row>
    <row r="74" spans="1:30" outlineLevel="1" x14ac:dyDescent="0.3">
      <c r="A74" s="152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328"/>
      <c r="N74" s="328"/>
      <c r="O74" s="152"/>
      <c r="P74" s="152"/>
      <c r="Q74" s="152"/>
      <c r="R74" s="152"/>
    </row>
    <row r="75" spans="1:30" outlineLevel="1" x14ac:dyDescent="0.3">
      <c r="A75" s="152"/>
      <c r="B75" s="58"/>
      <c r="C75" s="152" t="s">
        <v>177</v>
      </c>
      <c r="D75" s="185"/>
      <c r="E75" s="185"/>
      <c r="F75" s="350">
        <f>+F77*E82</f>
        <v>150.03449676689843</v>
      </c>
      <c r="G75" s="58"/>
      <c r="H75" s="58"/>
      <c r="I75" s="58"/>
      <c r="J75" s="58"/>
      <c r="K75" s="58"/>
      <c r="L75" s="58"/>
      <c r="M75" s="328"/>
      <c r="N75" s="328"/>
      <c r="O75" s="152"/>
      <c r="P75" s="152"/>
      <c r="Q75" s="152"/>
      <c r="R75" s="152"/>
      <c r="AD75" s="152"/>
    </row>
    <row r="76" spans="1:30" outlineLevel="1" x14ac:dyDescent="0.3">
      <c r="A76" s="152"/>
      <c r="B76" s="58"/>
      <c r="C76" s="58" t="s">
        <v>274</v>
      </c>
      <c r="D76" s="58"/>
      <c r="E76" s="58"/>
      <c r="F76" s="50">
        <v>0</v>
      </c>
      <c r="G76" s="58"/>
      <c r="H76" s="58"/>
      <c r="I76" s="58"/>
      <c r="J76" s="58"/>
      <c r="K76" s="58"/>
      <c r="L76" s="58"/>
      <c r="M76" s="328"/>
      <c r="N76" s="328"/>
      <c r="O76" s="152"/>
      <c r="P76" s="152"/>
      <c r="Q76" s="152"/>
      <c r="R76" s="152"/>
      <c r="AD76" s="152"/>
    </row>
    <row r="77" spans="1:30" outlineLevel="1" x14ac:dyDescent="0.3">
      <c r="A77" s="152"/>
      <c r="B77" s="152"/>
      <c r="C77" s="349" t="s">
        <v>118</v>
      </c>
      <c r="D77" s="152"/>
      <c r="E77" s="329"/>
      <c r="F77" s="235">
        <f>+M56</f>
        <v>1014.4917003271321</v>
      </c>
      <c r="G77" s="1"/>
      <c r="H77" s="152"/>
      <c r="I77" s="48"/>
      <c r="J77" s="185"/>
      <c r="K77" s="330"/>
      <c r="L77" s="330"/>
      <c r="M77" s="49"/>
      <c r="N77" s="48"/>
      <c r="O77" s="152"/>
      <c r="P77" s="152"/>
      <c r="Q77" s="152"/>
      <c r="R77" s="152"/>
      <c r="AD77" s="152"/>
    </row>
    <row r="78" spans="1:30" outlineLevel="1" x14ac:dyDescent="0.3">
      <c r="A78" s="152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328"/>
      <c r="N78" s="328"/>
      <c r="O78" s="152"/>
      <c r="P78" s="152"/>
      <c r="Q78" s="152"/>
      <c r="R78" s="152"/>
      <c r="AD78" s="152"/>
    </row>
    <row r="79" spans="1:30" outlineLevel="1" x14ac:dyDescent="0.3">
      <c r="A79" s="152"/>
      <c r="B79" s="152"/>
      <c r="C79" s="191"/>
      <c r="D79" s="191"/>
      <c r="E79" s="191"/>
      <c r="F79" s="191"/>
      <c r="G79" s="191"/>
      <c r="H79" s="191" t="s">
        <v>444</v>
      </c>
      <c r="I79" s="191" t="s">
        <v>127</v>
      </c>
      <c r="J79" s="191" t="s">
        <v>445</v>
      </c>
      <c r="K79" s="191" t="s">
        <v>446</v>
      </c>
      <c r="L79" s="191" t="s">
        <v>447</v>
      </c>
      <c r="M79" s="191" t="s">
        <v>448</v>
      </c>
      <c r="N79" s="328"/>
      <c r="O79" s="152"/>
      <c r="P79" s="152"/>
      <c r="Q79" s="152"/>
      <c r="R79" s="152"/>
      <c r="AD79" s="152"/>
    </row>
    <row r="80" spans="1:30" outlineLevel="1" x14ac:dyDescent="0.3">
      <c r="A80" s="152"/>
      <c r="B80" s="152"/>
      <c r="C80" s="220" t="s">
        <v>272</v>
      </c>
      <c r="D80" s="192"/>
      <c r="E80" s="192" t="s">
        <v>117</v>
      </c>
      <c r="F80" s="192" t="str">
        <f>+$F$46</f>
        <v>$ in Millions</v>
      </c>
      <c r="G80" s="192" t="s">
        <v>277</v>
      </c>
      <c r="H80" s="192" t="s">
        <v>449</v>
      </c>
      <c r="I80" s="192" t="s">
        <v>128</v>
      </c>
      <c r="J80" s="192" t="s">
        <v>450</v>
      </c>
      <c r="K80" s="192" t="s">
        <v>451</v>
      </c>
      <c r="L80" s="192" t="s">
        <v>452</v>
      </c>
      <c r="M80" s="192" t="s">
        <v>453</v>
      </c>
      <c r="N80" s="328"/>
      <c r="O80" s="152"/>
      <c r="P80" s="152"/>
      <c r="Q80" s="152"/>
      <c r="R80" s="152"/>
      <c r="AD80" s="152"/>
    </row>
    <row r="81" spans="1:36" outlineLevel="1" x14ac:dyDescent="0.3">
      <c r="A81" s="152"/>
      <c r="B81" s="152"/>
      <c r="C81" s="60"/>
      <c r="D81" s="152"/>
      <c r="E81" s="329"/>
      <c r="F81" s="235"/>
      <c r="G81" s="185"/>
      <c r="H81" s="152"/>
      <c r="I81" s="48"/>
      <c r="J81" s="185"/>
      <c r="K81" s="330"/>
      <c r="L81" s="330"/>
      <c r="M81" s="49"/>
      <c r="N81" s="48"/>
      <c r="O81" s="152"/>
      <c r="P81" s="152"/>
      <c r="Q81" s="152"/>
      <c r="R81" s="152"/>
      <c r="AD81" s="152"/>
    </row>
    <row r="82" spans="1:36" outlineLevel="1" x14ac:dyDescent="0.3">
      <c r="A82" s="152"/>
      <c r="B82" s="152"/>
      <c r="C82" s="60" t="s">
        <v>63</v>
      </c>
      <c r="D82" s="152"/>
      <c r="E82" s="236">
        <v>0.14789130036107584</v>
      </c>
      <c r="F82" s="51">
        <f>+E82*F76*F77</f>
        <v>0</v>
      </c>
      <c r="G82" s="209">
        <f t="shared" ref="G82:G87" si="1">+F82/LTM_EBITDA</f>
        <v>0</v>
      </c>
      <c r="H82" s="153">
        <v>325</v>
      </c>
      <c r="I82" s="231">
        <v>0.01</v>
      </c>
      <c r="J82" s="126">
        <v>1</v>
      </c>
      <c r="K82" s="225">
        <v>0</v>
      </c>
      <c r="L82" s="231">
        <v>5.0000000000000001E-3</v>
      </c>
      <c r="M82" s="58"/>
      <c r="N82" s="58"/>
      <c r="O82" s="152"/>
      <c r="P82" s="152"/>
      <c r="Q82" s="152"/>
      <c r="R82" s="331"/>
      <c r="AD82" s="152"/>
    </row>
    <row r="83" spans="1:36" outlineLevel="1" x14ac:dyDescent="0.3">
      <c r="A83" s="152"/>
      <c r="B83" s="152"/>
      <c r="C83" s="60" t="s">
        <v>153</v>
      </c>
      <c r="D83" s="152"/>
      <c r="E83" s="225">
        <v>0.25</v>
      </c>
      <c r="F83" s="51">
        <f>+E83*IF($F$76,F$77-F$82,F$77)</f>
        <v>253.62292508178302</v>
      </c>
      <c r="G83" s="209">
        <f t="shared" si="1"/>
        <v>1.5320019636471338</v>
      </c>
      <c r="H83" s="154">
        <v>350</v>
      </c>
      <c r="I83" s="231">
        <v>0</v>
      </c>
      <c r="J83" s="126">
        <v>1</v>
      </c>
      <c r="K83" s="225">
        <v>0.1</v>
      </c>
      <c r="L83" s="58"/>
      <c r="M83" s="58"/>
      <c r="N83" s="58"/>
      <c r="O83" s="152"/>
      <c r="P83" s="152"/>
      <c r="Q83" s="152"/>
      <c r="R83" s="331"/>
      <c r="AD83" s="152"/>
      <c r="AE83" s="605"/>
      <c r="AF83" s="605"/>
      <c r="AG83" s="605"/>
      <c r="AH83" s="605"/>
      <c r="AI83" s="605"/>
    </row>
    <row r="84" spans="1:36" outlineLevel="1" x14ac:dyDescent="0.3">
      <c r="A84" s="152"/>
      <c r="B84" s="152"/>
      <c r="C84" s="60" t="s">
        <v>154</v>
      </c>
      <c r="D84" s="152"/>
      <c r="E84" s="225">
        <v>0.25</v>
      </c>
      <c r="F84" s="51">
        <f t="shared" ref="F84:F87" si="2">+E84*IF($F$76,F$77-F$82,F$77)</f>
        <v>253.62292508178302</v>
      </c>
      <c r="G84" s="209">
        <f t="shared" si="1"/>
        <v>1.5320019636471338</v>
      </c>
      <c r="H84" s="154">
        <v>450</v>
      </c>
      <c r="I84" s="231">
        <v>0</v>
      </c>
      <c r="J84" s="126">
        <v>1</v>
      </c>
      <c r="K84" s="225">
        <v>0.02</v>
      </c>
      <c r="L84" s="58"/>
      <c r="M84" s="58"/>
      <c r="N84" s="58"/>
      <c r="O84" s="152"/>
      <c r="P84" s="152"/>
      <c r="Q84" s="152"/>
      <c r="R84" s="331"/>
      <c r="AD84" s="152"/>
      <c r="AE84" s="605"/>
      <c r="AF84" s="605"/>
      <c r="AG84" s="605"/>
      <c r="AH84" s="605"/>
      <c r="AI84" s="605"/>
    </row>
    <row r="85" spans="1:36" outlineLevel="1" x14ac:dyDescent="0.3">
      <c r="A85" s="152"/>
      <c r="B85" s="152"/>
      <c r="C85" s="60" t="s">
        <v>157</v>
      </c>
      <c r="D85" s="152"/>
      <c r="E85" s="225">
        <v>0.2</v>
      </c>
      <c r="F85" s="51">
        <f t="shared" si="2"/>
        <v>202.89834006542642</v>
      </c>
      <c r="G85" s="209">
        <f t="shared" si="1"/>
        <v>1.2256015709177071</v>
      </c>
      <c r="H85" s="154">
        <v>675</v>
      </c>
      <c r="I85" s="231">
        <v>0.01</v>
      </c>
      <c r="J85" s="126">
        <v>0</v>
      </c>
      <c r="K85" s="225">
        <v>0</v>
      </c>
      <c r="L85" s="58"/>
      <c r="M85" s="58"/>
      <c r="N85" s="58"/>
      <c r="O85" s="152"/>
      <c r="P85" s="152"/>
      <c r="Q85" s="152"/>
      <c r="R85" s="331"/>
      <c r="AD85" s="152"/>
      <c r="AE85" s="210"/>
      <c r="AF85" s="610"/>
      <c r="AG85" s="210"/>
      <c r="AH85" s="210"/>
      <c r="AI85" s="210"/>
    </row>
    <row r="86" spans="1:36" outlineLevel="1" x14ac:dyDescent="0.3">
      <c r="A86" s="152"/>
      <c r="B86" s="152"/>
      <c r="C86" s="60" t="s">
        <v>155</v>
      </c>
      <c r="D86" s="152"/>
      <c r="E86" s="225">
        <v>0.15</v>
      </c>
      <c r="F86" s="51">
        <f t="shared" si="2"/>
        <v>152.1737550490698</v>
      </c>
      <c r="G86" s="209">
        <f t="shared" si="1"/>
        <v>0.91920117818828018</v>
      </c>
      <c r="H86" s="155">
        <v>0.1</v>
      </c>
      <c r="I86" s="238">
        <v>0</v>
      </c>
      <c r="J86" s="126">
        <v>0</v>
      </c>
      <c r="K86" s="236">
        <v>0</v>
      </c>
      <c r="L86" s="58"/>
      <c r="M86" s="58"/>
      <c r="N86" s="58"/>
      <c r="O86" s="152"/>
      <c r="P86" s="152"/>
      <c r="Q86" s="152"/>
      <c r="R86" s="331"/>
      <c r="AD86" s="152"/>
      <c r="AE86" s="239"/>
      <c r="AF86" s="605"/>
      <c r="AG86" s="606"/>
      <c r="AH86" s="606"/>
      <c r="AI86" s="607"/>
    </row>
    <row r="87" spans="1:36" outlineLevel="1" x14ac:dyDescent="0.3">
      <c r="A87" s="152"/>
      <c r="B87" s="152"/>
      <c r="C87" s="60" t="s">
        <v>156</v>
      </c>
      <c r="D87" s="152"/>
      <c r="E87" s="351">
        <f>1-SUM(E83:E86)</f>
        <v>0.15000000000000002</v>
      </c>
      <c r="F87" s="51">
        <f t="shared" si="2"/>
        <v>152.17375504906983</v>
      </c>
      <c r="G87" s="353">
        <f t="shared" si="1"/>
        <v>0.9192011781882804</v>
      </c>
      <c r="H87" s="342">
        <v>0.12</v>
      </c>
      <c r="I87" s="343">
        <v>0</v>
      </c>
      <c r="J87" s="344">
        <v>0</v>
      </c>
      <c r="K87" s="341">
        <v>0</v>
      </c>
      <c r="L87" s="58"/>
      <c r="M87" s="345">
        <v>5</v>
      </c>
      <c r="N87" s="58"/>
      <c r="O87" s="152"/>
      <c r="P87" s="152"/>
      <c r="Q87" s="152"/>
      <c r="R87" s="331"/>
      <c r="AD87" s="152"/>
      <c r="AE87" s="239"/>
      <c r="AF87" s="605"/>
      <c r="AG87" s="608"/>
      <c r="AH87" s="608"/>
      <c r="AI87" s="607"/>
    </row>
    <row r="88" spans="1:36" outlineLevel="1" x14ac:dyDescent="0.3">
      <c r="A88" s="152"/>
      <c r="B88" s="152"/>
      <c r="C88" s="8" t="s">
        <v>230</v>
      </c>
      <c r="D88" s="346"/>
      <c r="E88" s="348">
        <f>SUM(E82:E87)</f>
        <v>1.1478913003610758</v>
      </c>
      <c r="F88" s="34">
        <f>SUM(F82:F87)</f>
        <v>1014.4917003271321</v>
      </c>
      <c r="G88" s="354">
        <f>SUM(G82:G87)</f>
        <v>6.1280078545885353</v>
      </c>
      <c r="H88" s="242"/>
      <c r="I88" s="242"/>
      <c r="J88" s="242"/>
      <c r="K88" s="242"/>
      <c r="L88" s="242"/>
      <c r="M88" s="242"/>
      <c r="N88" s="152"/>
      <c r="O88" s="152"/>
      <c r="P88" s="152"/>
      <c r="Q88" s="152"/>
      <c r="R88" s="152"/>
      <c r="AD88" s="152"/>
      <c r="AE88" s="239"/>
      <c r="AF88" s="605"/>
      <c r="AG88" s="608"/>
      <c r="AH88" s="608"/>
      <c r="AI88" s="607"/>
    </row>
    <row r="89" spans="1:36" outlineLevel="1" x14ac:dyDescent="0.3">
      <c r="A89" s="152"/>
      <c r="B89" s="152"/>
      <c r="C89" s="152"/>
      <c r="D89" s="52"/>
      <c r="E89" s="284"/>
      <c r="F89" s="54"/>
      <c r="G89" s="185"/>
      <c r="H89" s="185"/>
      <c r="I89" s="185"/>
      <c r="J89" s="185"/>
      <c r="K89" s="185"/>
      <c r="L89" s="185"/>
      <c r="M89" s="185"/>
      <c r="N89" s="152"/>
      <c r="O89" s="152"/>
      <c r="P89" s="152"/>
      <c r="Q89" s="152"/>
      <c r="R89" s="152"/>
      <c r="AD89" s="152"/>
      <c r="AE89" s="239"/>
      <c r="AF89" s="605"/>
      <c r="AG89" s="608"/>
      <c r="AH89" s="608"/>
      <c r="AI89" s="607"/>
    </row>
    <row r="90" spans="1:36" outlineLevel="1" x14ac:dyDescent="0.3">
      <c r="A90" s="152"/>
      <c r="B90" s="152"/>
      <c r="C90" s="152" t="s">
        <v>273</v>
      </c>
      <c r="D90" s="52"/>
      <c r="E90" s="352">
        <f>SUM(E83:E87)</f>
        <v>1</v>
      </c>
      <c r="F90" s="54"/>
      <c r="G90" s="185"/>
      <c r="H90" s="319"/>
      <c r="I90" s="319"/>
      <c r="J90" s="185"/>
      <c r="K90" s="185"/>
      <c r="L90" s="185"/>
      <c r="M90" s="185"/>
      <c r="N90" s="152"/>
      <c r="O90" s="152"/>
      <c r="P90" s="152"/>
      <c r="Q90" s="152"/>
      <c r="R90" s="152"/>
      <c r="AD90" s="152"/>
      <c r="AE90" s="239"/>
      <c r="AF90" s="605"/>
      <c r="AG90" s="608"/>
      <c r="AH90" s="608"/>
      <c r="AI90" s="607"/>
    </row>
    <row r="91" spans="1:36" x14ac:dyDescent="0.3">
      <c r="A91" s="152"/>
      <c r="B91" s="152"/>
      <c r="C91" s="152"/>
      <c r="D91" s="52"/>
      <c r="E91" s="237"/>
      <c r="F91" s="54"/>
      <c r="G91" s="185"/>
      <c r="H91" s="185"/>
      <c r="I91" s="185"/>
      <c r="J91" s="185"/>
      <c r="K91" s="185"/>
      <c r="L91" s="185"/>
      <c r="M91" s="185"/>
      <c r="N91" s="152"/>
      <c r="O91" s="152"/>
      <c r="P91" s="152"/>
      <c r="Q91" s="152"/>
      <c r="R91" s="152"/>
      <c r="AD91" s="152"/>
      <c r="AE91" s="605"/>
      <c r="AF91" s="605"/>
      <c r="AG91" s="605"/>
      <c r="AH91" s="605"/>
      <c r="AI91" s="605"/>
    </row>
    <row r="92" spans="1:36" x14ac:dyDescent="0.3">
      <c r="A92" s="152"/>
      <c r="B92" s="179" t="s">
        <v>138</v>
      </c>
      <c r="C92" s="321"/>
      <c r="D92" s="321"/>
      <c r="E92" s="321"/>
      <c r="F92" s="321"/>
      <c r="G92" s="321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152"/>
      <c r="AD92" s="152"/>
      <c r="AE92" s="605"/>
      <c r="AF92" s="605"/>
      <c r="AG92" s="605"/>
      <c r="AH92" s="559"/>
      <c r="AI92" s="609"/>
    </row>
    <row r="93" spans="1:36" outlineLevel="1" x14ac:dyDescent="0.3">
      <c r="A93" s="152"/>
      <c r="B93" s="152"/>
      <c r="C93" s="152"/>
      <c r="D93" s="52"/>
      <c r="E93" s="237"/>
      <c r="G93" s="185"/>
      <c r="H93" s="185"/>
      <c r="I93" s="185"/>
      <c r="J93" s="185"/>
      <c r="K93" s="185"/>
      <c r="L93" s="185"/>
      <c r="M93" s="185"/>
      <c r="N93" s="152"/>
      <c r="O93" s="152"/>
      <c r="P93" s="152"/>
      <c r="Q93" s="152"/>
      <c r="R93" s="152"/>
      <c r="AE93" s="605"/>
      <c r="AF93" s="605"/>
      <c r="AG93" s="605"/>
      <c r="AH93" s="605"/>
      <c r="AI93" s="605"/>
    </row>
    <row r="94" spans="1:36" outlineLevel="1" x14ac:dyDescent="0.3">
      <c r="A94" s="152"/>
      <c r="B94" s="152"/>
      <c r="C94" s="220" t="s">
        <v>130</v>
      </c>
      <c r="D94" s="192"/>
      <c r="E94" s="192"/>
      <c r="F94" s="192" t="str">
        <f>+$F$46</f>
        <v>$ in Millions</v>
      </c>
      <c r="G94" s="192" t="s">
        <v>277</v>
      </c>
      <c r="H94" s="192" t="s">
        <v>278</v>
      </c>
      <c r="I94" s="152"/>
      <c r="J94" s="220" t="s">
        <v>131</v>
      </c>
      <c r="K94" s="192"/>
      <c r="L94" s="192"/>
      <c r="M94" s="192" t="str">
        <f>+$F$46</f>
        <v>$ in Millions</v>
      </c>
      <c r="N94" s="192" t="s">
        <v>277</v>
      </c>
      <c r="O94" s="192" t="s">
        <v>278</v>
      </c>
      <c r="P94" s="239"/>
      <c r="Q94" s="152"/>
      <c r="R94" s="152"/>
      <c r="AE94" s="605"/>
      <c r="AF94" s="605"/>
      <c r="AG94" s="605"/>
      <c r="AH94" s="605"/>
      <c r="AI94" s="239"/>
      <c r="AJ94" s="152"/>
    </row>
    <row r="95" spans="1:36" outlineLevel="1" x14ac:dyDescent="0.3">
      <c r="A95" s="152"/>
      <c r="B95" s="152"/>
      <c r="C95" s="382" t="str">
        <f>+$C$82</f>
        <v>Revolver:</v>
      </c>
      <c r="D95" s="239"/>
      <c r="E95" s="239"/>
      <c r="F95" s="621">
        <f>+F82</f>
        <v>0</v>
      </c>
      <c r="G95" s="627">
        <f t="shared" ref="G95:G104" si="3">+F95/LTM_EBITDA</f>
        <v>0</v>
      </c>
      <c r="H95" s="628">
        <f>+F95/F$105</f>
        <v>0</v>
      </c>
      <c r="I95" s="152"/>
      <c r="J95" s="382" t="s">
        <v>132</v>
      </c>
      <c r="K95" s="566"/>
      <c r="L95" s="566"/>
      <c r="M95" s="621">
        <f>+M47</f>
        <v>946.66541399999994</v>
      </c>
      <c r="N95" s="627">
        <f>+M95/LTM_EBITDA</f>
        <v>5.7183051283600115</v>
      </c>
      <c r="O95" s="628">
        <f>+M95/M$100</f>
        <v>0.69052551749226432</v>
      </c>
      <c r="P95" s="152"/>
      <c r="Q95" s="152"/>
      <c r="R95" s="152"/>
      <c r="AE95" s="605"/>
      <c r="AF95" s="605"/>
      <c r="AG95" s="605"/>
      <c r="AH95" s="605"/>
      <c r="AI95" s="239"/>
      <c r="AJ95" s="152"/>
    </row>
    <row r="96" spans="1:36" outlineLevel="1" x14ac:dyDescent="0.3">
      <c r="A96" s="152"/>
      <c r="B96" s="152"/>
      <c r="C96" s="256" t="str">
        <f>+$C$83</f>
        <v>Term Loan - A:</v>
      </c>
      <c r="D96" s="239"/>
      <c r="E96" s="239"/>
      <c r="F96" s="599">
        <f t="shared" ref="F96:F100" si="4">+F83</f>
        <v>253.62292508178302</v>
      </c>
      <c r="G96" s="627">
        <f t="shared" si="3"/>
        <v>1.5320019636471338</v>
      </c>
      <c r="H96" s="628">
        <f t="shared" ref="H96:H104" si="5">+F96/F$105</f>
        <v>0.185</v>
      </c>
      <c r="I96" s="152"/>
      <c r="J96" s="382" t="s">
        <v>133</v>
      </c>
      <c r="K96" s="566"/>
      <c r="L96" s="566"/>
      <c r="M96" s="599">
        <f>+F67</f>
        <v>361.5</v>
      </c>
      <c r="N96" s="627">
        <f>+M96/LTM_EBITDA</f>
        <v>2.1836303231652066</v>
      </c>
      <c r="O96" s="628">
        <f t="shared" ref="O96:O99" si="6">+M96/M$100</f>
        <v>0.26368870234595215</v>
      </c>
      <c r="P96" s="152"/>
      <c r="Q96" s="152"/>
      <c r="R96" s="152"/>
      <c r="AE96" s="605"/>
      <c r="AF96" s="605"/>
      <c r="AG96" s="605"/>
      <c r="AH96" s="605"/>
      <c r="AI96" s="239"/>
      <c r="AJ96" s="152"/>
    </row>
    <row r="97" spans="1:18" outlineLevel="1" x14ac:dyDescent="0.3">
      <c r="A97" s="152"/>
      <c r="B97" s="152"/>
      <c r="C97" s="256" t="str">
        <f>+$C$84</f>
        <v>Term Loan - B:</v>
      </c>
      <c r="D97" s="239"/>
      <c r="E97" s="239"/>
      <c r="F97" s="599">
        <f t="shared" si="4"/>
        <v>253.62292508178302</v>
      </c>
      <c r="G97" s="627">
        <f t="shared" si="3"/>
        <v>1.5320019636471338</v>
      </c>
      <c r="H97" s="628">
        <f t="shared" si="5"/>
        <v>0.185</v>
      </c>
      <c r="I97" s="152"/>
      <c r="J97" s="382" t="s">
        <v>134</v>
      </c>
      <c r="K97" s="566"/>
      <c r="L97" s="566"/>
      <c r="M97" s="599">
        <f>+F38-F67</f>
        <v>0</v>
      </c>
      <c r="N97" s="627">
        <f>+M97/LTM_EBITDA</f>
        <v>0</v>
      </c>
      <c r="O97" s="628">
        <f t="shared" si="6"/>
        <v>0</v>
      </c>
      <c r="P97" s="152"/>
      <c r="Q97" s="152"/>
      <c r="R97" s="152"/>
    </row>
    <row r="98" spans="1:18" outlineLevel="1" x14ac:dyDescent="0.3">
      <c r="A98" s="152"/>
      <c r="B98" s="152"/>
      <c r="C98" s="256" t="str">
        <f>+$C$85</f>
        <v>Senior Notes:</v>
      </c>
      <c r="D98" s="239"/>
      <c r="E98" s="239"/>
      <c r="F98" s="599">
        <f t="shared" si="4"/>
        <v>202.89834006542642</v>
      </c>
      <c r="G98" s="627">
        <f t="shared" si="3"/>
        <v>1.2256015709177071</v>
      </c>
      <c r="H98" s="628">
        <f t="shared" si="5"/>
        <v>0.14800000000000002</v>
      </c>
      <c r="I98" s="152"/>
      <c r="J98" s="382" t="s">
        <v>275</v>
      </c>
      <c r="K98" s="566"/>
      <c r="L98" s="566"/>
      <c r="M98" s="599">
        <f>+F56+F60</f>
        <v>34.969316171800003</v>
      </c>
      <c r="N98" s="627">
        <f>+M98/LTM_EBITDA</f>
        <v>0.21123114570703716</v>
      </c>
      <c r="O98" s="628">
        <f t="shared" si="6"/>
        <v>2.5507644822316076E-2</v>
      </c>
      <c r="P98" s="152"/>
      <c r="Q98" s="152"/>
      <c r="R98" s="152"/>
    </row>
    <row r="99" spans="1:18" outlineLevel="1" x14ac:dyDescent="0.3">
      <c r="A99" s="152"/>
      <c r="B99" s="152"/>
      <c r="C99" s="256" t="str">
        <f>+$C$86</f>
        <v>Subordinated Note:</v>
      </c>
      <c r="D99" s="239"/>
      <c r="E99" s="239"/>
      <c r="F99" s="599">
        <f t="shared" si="4"/>
        <v>152.1737550490698</v>
      </c>
      <c r="G99" s="627">
        <f t="shared" si="3"/>
        <v>0.91920117818828018</v>
      </c>
      <c r="H99" s="628">
        <f t="shared" si="5"/>
        <v>0.11099999999999999</v>
      </c>
      <c r="I99" s="152"/>
      <c r="J99" s="382" t="s">
        <v>135</v>
      </c>
      <c r="K99" s="566"/>
      <c r="L99" s="566"/>
      <c r="M99" s="599">
        <f>+F57</f>
        <v>27.8</v>
      </c>
      <c r="N99" s="627">
        <f>+M99/LTM_EBITDA</f>
        <v>0.1679250981576563</v>
      </c>
      <c r="O99" s="628">
        <f t="shared" si="6"/>
        <v>2.0278135339467412E-2</v>
      </c>
      <c r="P99" s="152"/>
      <c r="Q99" s="152"/>
      <c r="R99" s="152"/>
    </row>
    <row r="100" spans="1:18" outlineLevel="1" x14ac:dyDescent="0.3">
      <c r="A100" s="152"/>
      <c r="B100" s="152"/>
      <c r="C100" s="256" t="str">
        <f>+$C$87</f>
        <v>Mezzanine:</v>
      </c>
      <c r="D100" s="239"/>
      <c r="E100" s="239"/>
      <c r="F100" s="599">
        <f t="shared" si="4"/>
        <v>152.17375504906983</v>
      </c>
      <c r="G100" s="627">
        <f t="shared" si="3"/>
        <v>0.9192011781882804</v>
      </c>
      <c r="H100" s="628">
        <f t="shared" si="5"/>
        <v>0.11100000000000002</v>
      </c>
      <c r="I100" s="152"/>
      <c r="J100" s="53" t="s">
        <v>136</v>
      </c>
      <c r="K100" s="242"/>
      <c r="L100" s="242"/>
      <c r="M100" s="34">
        <f>SUM(M95:M99)</f>
        <v>1370.9347301718001</v>
      </c>
      <c r="N100" s="356">
        <f>SUM(N95:N99)</f>
        <v>8.281091695389911</v>
      </c>
      <c r="O100" s="355">
        <f>SUM(O95:O99)</f>
        <v>0.99999999999999989</v>
      </c>
      <c r="P100" s="152"/>
      <c r="Q100" s="152"/>
      <c r="R100" s="152"/>
    </row>
    <row r="101" spans="1:18" outlineLevel="1" x14ac:dyDescent="0.3">
      <c r="A101" s="152"/>
      <c r="B101" s="152"/>
      <c r="C101" s="382" t="s">
        <v>139</v>
      </c>
      <c r="D101" s="239"/>
      <c r="E101" s="239"/>
      <c r="F101" s="599">
        <f>-F69</f>
        <v>0</v>
      </c>
      <c r="G101" s="627">
        <f t="shared" si="3"/>
        <v>0</v>
      </c>
      <c r="H101" s="628">
        <f t="shared" si="5"/>
        <v>0</v>
      </c>
      <c r="I101" s="152"/>
      <c r="J101" s="152"/>
      <c r="K101" s="152"/>
      <c r="L101" s="152"/>
      <c r="M101" s="185"/>
      <c r="N101" s="152"/>
      <c r="O101" s="152"/>
      <c r="P101" s="152"/>
      <c r="Q101" s="152"/>
      <c r="R101" s="152"/>
    </row>
    <row r="102" spans="1:18" outlineLevel="1" x14ac:dyDescent="0.3">
      <c r="A102" s="152"/>
      <c r="B102" s="152"/>
      <c r="C102" s="382" t="s">
        <v>276</v>
      </c>
      <c r="D102" s="239"/>
      <c r="E102" s="239"/>
      <c r="F102" s="599">
        <f>-F70</f>
        <v>0</v>
      </c>
      <c r="G102" s="627">
        <f t="shared" si="3"/>
        <v>0</v>
      </c>
      <c r="H102" s="628">
        <f t="shared" si="5"/>
        <v>0</v>
      </c>
      <c r="I102" s="152"/>
      <c r="J102" s="152"/>
      <c r="K102" s="152"/>
      <c r="L102" s="152"/>
      <c r="M102" s="185"/>
      <c r="N102" s="152"/>
      <c r="O102" s="152"/>
      <c r="P102" s="152"/>
      <c r="Q102" s="152"/>
      <c r="R102" s="152"/>
    </row>
    <row r="103" spans="1:18" outlineLevel="1" x14ac:dyDescent="0.3">
      <c r="A103" s="152"/>
      <c r="B103" s="152"/>
      <c r="C103" s="382" t="s">
        <v>134</v>
      </c>
      <c r="D103" s="239"/>
      <c r="E103" s="239"/>
      <c r="F103" s="599">
        <f>+M97</f>
        <v>0</v>
      </c>
      <c r="G103" s="627">
        <f t="shared" si="3"/>
        <v>0</v>
      </c>
      <c r="H103" s="628">
        <f t="shared" si="5"/>
        <v>0</v>
      </c>
      <c r="I103" s="152"/>
      <c r="J103" s="152"/>
      <c r="K103" s="152"/>
      <c r="L103" s="152"/>
      <c r="M103" s="185"/>
      <c r="N103" s="152"/>
      <c r="O103" s="152"/>
      <c r="P103" s="152"/>
      <c r="Q103" s="152"/>
      <c r="R103" s="152"/>
    </row>
    <row r="104" spans="1:18" outlineLevel="1" x14ac:dyDescent="0.3">
      <c r="A104" s="152"/>
      <c r="B104" s="152"/>
      <c r="C104" s="335" t="s">
        <v>187</v>
      </c>
      <c r="D104" s="336"/>
      <c r="E104" s="336"/>
      <c r="F104" s="626">
        <f>+M100-SUM(F95:F103)</f>
        <v>356.44302984466799</v>
      </c>
      <c r="G104" s="629">
        <f t="shared" si="3"/>
        <v>2.153083840801377</v>
      </c>
      <c r="H104" s="628">
        <f t="shared" si="5"/>
        <v>0.25999999999999995</v>
      </c>
      <c r="I104" s="152"/>
      <c r="J104" s="152"/>
      <c r="K104" s="152"/>
      <c r="L104" s="152"/>
      <c r="M104" s="185"/>
      <c r="N104" s="152"/>
      <c r="O104" s="152"/>
      <c r="P104" s="152"/>
      <c r="Q104" s="152"/>
      <c r="R104" s="152"/>
    </row>
    <row r="105" spans="1:18" outlineLevel="1" x14ac:dyDescent="0.3">
      <c r="A105" s="152"/>
      <c r="B105" s="152"/>
      <c r="C105" s="59" t="s">
        <v>137</v>
      </c>
      <c r="D105" s="152"/>
      <c r="E105" s="152"/>
      <c r="F105" s="47">
        <f>SUM(F95:F104)</f>
        <v>1370.9347301718001</v>
      </c>
      <c r="G105" s="354">
        <f>SUM(G95:G104)</f>
        <v>8.2810916953899127</v>
      </c>
      <c r="H105" s="355">
        <f>SUM(H95:H104)</f>
        <v>1</v>
      </c>
      <c r="I105" s="185"/>
      <c r="J105" s="185"/>
      <c r="K105" s="185"/>
      <c r="L105" s="152"/>
      <c r="M105" s="185"/>
      <c r="N105" s="152"/>
      <c r="O105" s="152"/>
      <c r="P105" s="152"/>
      <c r="Q105" s="152"/>
      <c r="R105" s="152"/>
    </row>
    <row r="106" spans="1:18" outlineLevel="1" x14ac:dyDescent="0.3">
      <c r="A106" s="152"/>
      <c r="B106" s="152"/>
      <c r="C106" s="152"/>
      <c r="D106" s="52"/>
      <c r="E106" s="237"/>
      <c r="G106" s="185"/>
      <c r="H106" s="185"/>
      <c r="I106" s="185"/>
      <c r="J106" s="185"/>
      <c r="K106" s="185"/>
      <c r="L106" s="185"/>
      <c r="M106" s="185"/>
      <c r="N106" s="152"/>
      <c r="O106" s="152"/>
      <c r="P106" s="152"/>
      <c r="Q106" s="152"/>
      <c r="R106" s="152"/>
    </row>
    <row r="107" spans="1:18" outlineLevel="1" x14ac:dyDescent="0.3">
      <c r="A107" s="152"/>
      <c r="B107" s="152"/>
      <c r="C107" s="220" t="s">
        <v>279</v>
      </c>
      <c r="D107" s="192"/>
      <c r="E107" s="192"/>
      <c r="F107" s="192" t="s">
        <v>280</v>
      </c>
      <c r="G107" s="192" t="s">
        <v>281</v>
      </c>
      <c r="H107" s="185"/>
      <c r="I107" s="185"/>
      <c r="J107" s="185"/>
      <c r="K107" s="185"/>
      <c r="L107" s="185"/>
      <c r="M107" s="185"/>
      <c r="N107" s="152"/>
      <c r="O107" s="152"/>
      <c r="P107" s="152"/>
      <c r="Q107" s="152"/>
      <c r="R107" s="152"/>
    </row>
    <row r="108" spans="1:18" outlineLevel="1" x14ac:dyDescent="0.3">
      <c r="A108" s="152"/>
      <c r="B108" s="152"/>
      <c r="C108" s="147" t="s">
        <v>284</v>
      </c>
      <c r="D108" s="58"/>
      <c r="E108" s="58"/>
      <c r="F108" s="358">
        <f>+Rollover_Shares/Diluted_Shares</f>
        <v>0</v>
      </c>
      <c r="G108" s="358">
        <f>+F102/(+F102+F104)</f>
        <v>0</v>
      </c>
      <c r="H108" s="185"/>
      <c r="I108" s="185"/>
      <c r="J108" s="185"/>
      <c r="K108" s="185"/>
      <c r="L108" s="185"/>
      <c r="M108" s="185"/>
      <c r="N108" s="152"/>
      <c r="O108" s="152"/>
      <c r="P108" s="152"/>
      <c r="Q108" s="152"/>
      <c r="R108" s="152"/>
    </row>
    <row r="109" spans="1:18" outlineLevel="1" x14ac:dyDescent="0.3">
      <c r="A109" s="152"/>
      <c r="B109" s="152"/>
      <c r="C109" s="60" t="s">
        <v>282</v>
      </c>
      <c r="D109" s="58"/>
      <c r="E109" s="58"/>
      <c r="F109" s="358">
        <f>1-F108</f>
        <v>1</v>
      </c>
      <c r="G109" s="357">
        <v>0</v>
      </c>
      <c r="H109" s="185"/>
      <c r="I109" s="185"/>
      <c r="J109" s="185"/>
      <c r="K109" s="185"/>
      <c r="L109" s="185"/>
      <c r="M109" s="185"/>
      <c r="N109" s="152"/>
      <c r="O109" s="152"/>
      <c r="P109" s="152"/>
      <c r="Q109" s="152"/>
      <c r="R109" s="152"/>
    </row>
    <row r="110" spans="1:18" outlineLevel="1" x14ac:dyDescent="0.3">
      <c r="A110" s="152"/>
      <c r="B110" s="152"/>
      <c r="C110" s="60" t="s">
        <v>283</v>
      </c>
      <c r="D110" s="58"/>
      <c r="E110" s="58"/>
      <c r="F110" s="357">
        <v>0</v>
      </c>
      <c r="G110" s="358">
        <f>+F104/(+F102+F104)</f>
        <v>1</v>
      </c>
      <c r="H110" s="185"/>
      <c r="I110" s="185"/>
      <c r="J110" s="185"/>
      <c r="K110" s="185"/>
      <c r="L110" s="185"/>
      <c r="M110" s="185"/>
      <c r="N110" s="152"/>
      <c r="O110" s="152"/>
      <c r="P110" s="152"/>
      <c r="Q110" s="152"/>
      <c r="R110" s="152"/>
    </row>
    <row r="111" spans="1:18" outlineLevel="1" x14ac:dyDescent="0.3">
      <c r="A111" s="152"/>
      <c r="B111" s="152"/>
      <c r="C111" s="8" t="s">
        <v>230</v>
      </c>
      <c r="D111" s="325"/>
      <c r="E111" s="325"/>
      <c r="F111" s="347">
        <f>SUM(F108:F110)</f>
        <v>1</v>
      </c>
      <c r="G111" s="347">
        <f>SUM(G108:G110)</f>
        <v>1</v>
      </c>
      <c r="H111" s="185"/>
      <c r="I111" s="185"/>
      <c r="J111" s="185"/>
      <c r="K111" s="185"/>
      <c r="L111" s="185"/>
      <c r="M111" s="185"/>
      <c r="N111" s="152"/>
      <c r="O111" s="152"/>
      <c r="P111" s="152"/>
      <c r="Q111" s="152"/>
      <c r="R111" s="152"/>
    </row>
    <row r="112" spans="1:18" x14ac:dyDescent="0.3">
      <c r="A112" s="152"/>
      <c r="B112" s="152"/>
      <c r="C112" s="152"/>
      <c r="D112" s="52"/>
      <c r="E112" s="237"/>
      <c r="G112" s="185"/>
      <c r="H112" s="185"/>
      <c r="I112" s="185"/>
      <c r="J112" s="185"/>
      <c r="K112" s="185"/>
      <c r="L112" s="185"/>
      <c r="M112" s="185"/>
      <c r="N112" s="152"/>
      <c r="O112" s="152"/>
      <c r="P112" s="152"/>
      <c r="Q112" s="152"/>
      <c r="R112" s="152"/>
    </row>
    <row r="113" spans="1:30" x14ac:dyDescent="0.3">
      <c r="A113" s="152"/>
      <c r="B113" s="179" t="s">
        <v>152</v>
      </c>
      <c r="C113" s="321"/>
      <c r="D113" s="321"/>
      <c r="E113" s="321"/>
      <c r="F113" s="321"/>
      <c r="G113" s="321"/>
      <c r="H113" s="322"/>
      <c r="I113" s="322"/>
      <c r="J113" s="322"/>
      <c r="K113" s="322"/>
      <c r="L113" s="322"/>
      <c r="M113" s="322"/>
      <c r="N113" s="322"/>
      <c r="O113" s="322"/>
      <c r="P113" s="322"/>
      <c r="Q113" s="322"/>
      <c r="R113" s="152"/>
    </row>
    <row r="114" spans="1:30" outlineLevel="1" x14ac:dyDescent="0.3">
      <c r="A114" s="152"/>
      <c r="B114" s="152"/>
      <c r="C114" s="152"/>
      <c r="D114" s="52"/>
      <c r="E114" s="237"/>
      <c r="G114" s="185"/>
      <c r="H114" s="185"/>
      <c r="I114" s="185"/>
      <c r="J114" s="185"/>
      <c r="K114" s="185"/>
      <c r="L114" s="185"/>
      <c r="M114" s="185"/>
      <c r="N114" s="152"/>
      <c r="O114" s="152"/>
      <c r="P114" s="152"/>
      <c r="Q114" s="152"/>
      <c r="R114" s="152"/>
      <c r="AD114" s="152"/>
    </row>
    <row r="115" spans="1:30" outlineLevel="1" x14ac:dyDescent="0.3">
      <c r="A115" s="152"/>
      <c r="B115" s="152"/>
      <c r="C115" s="220" t="s">
        <v>140</v>
      </c>
      <c r="D115" s="192"/>
      <c r="E115" s="192"/>
      <c r="F115" s="192" t="str">
        <f>+$F$46</f>
        <v>$ in Millions</v>
      </c>
      <c r="G115" s="237"/>
      <c r="I115" s="220" t="s">
        <v>141</v>
      </c>
      <c r="J115" s="192"/>
      <c r="K115" s="192"/>
      <c r="L115" s="192" t="s">
        <v>117</v>
      </c>
      <c r="M115" s="192" t="str">
        <f>+$F$46</f>
        <v>$ in Millions</v>
      </c>
      <c r="N115" s="152"/>
      <c r="O115" s="152"/>
      <c r="P115" s="152"/>
      <c r="Q115" s="152"/>
      <c r="R115" s="152"/>
      <c r="AD115" s="152"/>
    </row>
    <row r="116" spans="1:30" outlineLevel="1" x14ac:dyDescent="0.3">
      <c r="A116" s="152"/>
      <c r="B116" s="152"/>
      <c r="C116" s="147" t="s">
        <v>114</v>
      </c>
      <c r="D116" s="239"/>
      <c r="E116" s="239"/>
      <c r="F116" s="621">
        <f>+M47</f>
        <v>946.66541399999994</v>
      </c>
      <c r="G116" s="237"/>
      <c r="I116" s="147" t="s">
        <v>257</v>
      </c>
      <c r="J116" s="566"/>
      <c r="K116" s="620"/>
      <c r="L116" s="225">
        <v>0.04</v>
      </c>
      <c r="M116" s="621">
        <f>+L116*I350</f>
        <v>27.658159999999999</v>
      </c>
      <c r="N116" s="152"/>
      <c r="O116" s="152"/>
      <c r="P116" s="152"/>
      <c r="Q116" s="152"/>
      <c r="R116" s="152"/>
      <c r="AD116" s="152"/>
    </row>
    <row r="117" spans="1:30" outlineLevel="1" x14ac:dyDescent="0.3">
      <c r="A117" s="152"/>
      <c r="B117" s="152"/>
      <c r="C117" s="147" t="s">
        <v>304</v>
      </c>
      <c r="D117" s="239"/>
      <c r="E117" s="239"/>
      <c r="F117" s="599">
        <f>-I383-I384-I385-I386</f>
        <v>-160.76800000000003</v>
      </c>
      <c r="G117" s="237"/>
      <c r="I117" s="147" t="s">
        <v>143</v>
      </c>
      <c r="J117" s="566"/>
      <c r="K117" s="620"/>
      <c r="L117" s="630">
        <f>+PPE_Useful_Life</f>
        <v>12.516013756238085</v>
      </c>
      <c r="M117" s="239"/>
      <c r="N117" s="152"/>
      <c r="O117" s="152"/>
      <c r="P117" s="152"/>
      <c r="Q117" s="152"/>
      <c r="R117" s="152"/>
      <c r="AD117" s="152"/>
    </row>
    <row r="118" spans="1:30" outlineLevel="1" x14ac:dyDescent="0.3">
      <c r="A118" s="152"/>
      <c r="B118" s="152"/>
      <c r="C118" s="623" t="s">
        <v>142</v>
      </c>
      <c r="D118" s="336"/>
      <c r="E118" s="336"/>
      <c r="F118" s="624">
        <f>+I351</f>
        <v>0</v>
      </c>
      <c r="G118" s="237"/>
      <c r="I118" s="147" t="s">
        <v>258</v>
      </c>
      <c r="J118" s="566"/>
      <c r="K118" s="620"/>
      <c r="L118" s="566"/>
      <c r="M118" s="599">
        <f>+PPE_Writeup/L117</f>
        <v>2.2098217961940914</v>
      </c>
      <c r="N118" s="152"/>
      <c r="O118" s="152"/>
      <c r="P118" s="152"/>
      <c r="Q118" s="152"/>
      <c r="R118" s="152"/>
      <c r="AD118" s="152"/>
    </row>
    <row r="119" spans="1:30" outlineLevel="1" x14ac:dyDescent="0.3">
      <c r="A119" s="152"/>
      <c r="B119" s="152"/>
      <c r="C119" s="588" t="s">
        <v>144</v>
      </c>
      <c r="D119" s="239"/>
      <c r="E119" s="239"/>
      <c r="F119" s="625">
        <f>SUM(F116:F118)</f>
        <v>785.89741399999991</v>
      </c>
      <c r="G119" s="237"/>
      <c r="I119" s="328"/>
      <c r="J119" s="566"/>
      <c r="K119" s="620"/>
      <c r="L119" s="566"/>
      <c r="M119" s="387"/>
      <c r="N119" s="152"/>
      <c r="O119" s="152"/>
      <c r="P119" s="152"/>
      <c r="Q119" s="152"/>
      <c r="R119" s="152"/>
      <c r="AD119" s="152"/>
    </row>
    <row r="120" spans="1:30" outlineLevel="1" x14ac:dyDescent="0.3">
      <c r="A120" s="152"/>
      <c r="B120" s="152"/>
      <c r="C120" s="328"/>
      <c r="D120" s="239"/>
      <c r="E120" s="239"/>
      <c r="F120" s="239"/>
      <c r="G120" s="237"/>
      <c r="I120" s="220" t="s">
        <v>145</v>
      </c>
      <c r="J120" s="192"/>
      <c r="K120" s="192"/>
      <c r="L120" s="192" t="s">
        <v>117</v>
      </c>
      <c r="M120" s="192" t="str">
        <f>+$F$46</f>
        <v>$ in Millions</v>
      </c>
      <c r="N120" s="152"/>
      <c r="O120" s="152"/>
      <c r="P120" s="152"/>
      <c r="Q120" s="152"/>
      <c r="R120" s="152"/>
      <c r="AD120" s="152"/>
    </row>
    <row r="121" spans="1:30" outlineLevel="1" x14ac:dyDescent="0.3">
      <c r="A121" s="152"/>
      <c r="B121" s="152"/>
      <c r="C121" s="147" t="s">
        <v>146</v>
      </c>
      <c r="D121" s="239"/>
      <c r="E121" s="239"/>
      <c r="F121" s="599">
        <f>-PPE_Writeup</f>
        <v>-27.658159999999999</v>
      </c>
      <c r="G121" s="237"/>
      <c r="I121" s="622" t="s">
        <v>259</v>
      </c>
      <c r="J121" s="239"/>
      <c r="K121" s="620"/>
      <c r="L121" s="239"/>
      <c r="M121" s="621">
        <f>+F119</f>
        <v>785.89741399999991</v>
      </c>
      <c r="N121" s="60"/>
      <c r="O121" s="185"/>
      <c r="P121" s="185"/>
      <c r="R121" s="152"/>
      <c r="AD121" s="152"/>
    </row>
    <row r="122" spans="1:30" outlineLevel="1" x14ac:dyDescent="0.3">
      <c r="A122" s="152"/>
      <c r="B122" s="152"/>
      <c r="C122" s="147" t="s">
        <v>147</v>
      </c>
      <c r="D122" s="239"/>
      <c r="E122" s="239"/>
      <c r="F122" s="599">
        <f>-M123-M125</f>
        <v>-414.14615345199996</v>
      </c>
      <c r="G122" s="237"/>
      <c r="I122" s="332"/>
      <c r="J122" s="239"/>
      <c r="K122" s="620"/>
      <c r="L122" s="239"/>
      <c r="M122" s="239"/>
      <c r="N122" s="60"/>
      <c r="O122" s="185"/>
      <c r="P122" s="185"/>
      <c r="R122" s="152"/>
      <c r="AD122" s="58"/>
    </row>
    <row r="123" spans="1:30" outlineLevel="1" x14ac:dyDescent="0.3">
      <c r="A123" s="152"/>
      <c r="B123" s="152"/>
      <c r="C123" s="147" t="s">
        <v>256</v>
      </c>
      <c r="D123" s="239"/>
      <c r="E123" s="239"/>
      <c r="F123" s="599">
        <f>-I371</f>
        <v>-57.831000000000003</v>
      </c>
      <c r="G123" s="237"/>
      <c r="I123" s="147" t="s">
        <v>260</v>
      </c>
      <c r="J123" s="239"/>
      <c r="K123" s="620"/>
      <c r="L123" s="225">
        <v>0.50897228171818365</v>
      </c>
      <c r="M123" s="599">
        <f>+L123*M121</f>
        <v>399.99999999999994</v>
      </c>
      <c r="N123" s="147"/>
      <c r="O123" s="185"/>
      <c r="P123" s="185"/>
      <c r="R123" s="152"/>
      <c r="AD123" s="58"/>
    </row>
    <row r="124" spans="1:30" outlineLevel="1" x14ac:dyDescent="0.3">
      <c r="A124" s="152"/>
      <c r="B124" s="152"/>
      <c r="C124" s="382" t="s">
        <v>255</v>
      </c>
      <c r="D124" s="239"/>
      <c r="E124" s="239"/>
      <c r="F124" s="599">
        <f>+I346</f>
        <v>2.0910000000000002</v>
      </c>
      <c r="G124" s="237"/>
      <c r="I124" s="332"/>
      <c r="J124" s="239"/>
      <c r="K124" s="620"/>
      <c r="L124" s="239"/>
      <c r="M124" s="239"/>
      <c r="N124" s="147"/>
      <c r="O124" s="185"/>
      <c r="P124" s="185"/>
      <c r="R124" s="152"/>
      <c r="AD124" s="58"/>
    </row>
    <row r="125" spans="1:30" outlineLevel="1" x14ac:dyDescent="0.3">
      <c r="A125" s="152"/>
      <c r="B125" s="152"/>
      <c r="C125" s="623" t="s">
        <v>148</v>
      </c>
      <c r="D125" s="336"/>
      <c r="E125" s="336"/>
      <c r="F125" s="626">
        <f>+M129</f>
        <v>170.74391557502852</v>
      </c>
      <c r="G125" s="237"/>
      <c r="I125" s="147" t="s">
        <v>261</v>
      </c>
      <c r="J125" s="239"/>
      <c r="K125" s="620"/>
      <c r="L125" s="225">
        <v>1.7999999999999999E-2</v>
      </c>
      <c r="M125" s="599">
        <f>+L125*M121</f>
        <v>14.146153451999997</v>
      </c>
      <c r="N125" s="328"/>
      <c r="O125" s="185"/>
      <c r="P125" s="185"/>
      <c r="Q125" s="185"/>
      <c r="R125" s="152"/>
      <c r="AD125" s="58"/>
    </row>
    <row r="126" spans="1:30" outlineLevel="1" x14ac:dyDescent="0.3">
      <c r="A126" s="152"/>
      <c r="B126" s="152"/>
      <c r="C126" s="59" t="s">
        <v>150</v>
      </c>
      <c r="D126" s="152"/>
      <c r="E126" s="152"/>
      <c r="F126" s="44">
        <f>+F119+SUM(F121:F125)</f>
        <v>459.09701612302842</v>
      </c>
      <c r="G126" s="237"/>
      <c r="I126" s="147" t="s">
        <v>149</v>
      </c>
      <c r="J126" s="239"/>
      <c r="K126" s="620"/>
      <c r="L126" s="246">
        <v>15</v>
      </c>
      <c r="M126" s="239"/>
      <c r="N126" s="328"/>
      <c r="O126" s="185"/>
      <c r="P126" s="185"/>
      <c r="R126" s="152"/>
      <c r="AD126" s="58"/>
    </row>
    <row r="127" spans="1:30" outlineLevel="1" x14ac:dyDescent="0.3">
      <c r="A127" s="152"/>
      <c r="B127" s="152"/>
      <c r="C127" s="58"/>
      <c r="D127" s="152"/>
      <c r="E127" s="152"/>
      <c r="F127" s="152"/>
      <c r="G127" s="237"/>
      <c r="I127" s="147" t="s">
        <v>262</v>
      </c>
      <c r="J127" s="566"/>
      <c r="K127" s="566"/>
      <c r="L127" s="620"/>
      <c r="M127" s="599">
        <f>+M125/L126</f>
        <v>0.94307689679999973</v>
      </c>
      <c r="N127" s="152"/>
      <c r="O127" s="152"/>
      <c r="P127" s="152"/>
      <c r="Q127" s="152"/>
      <c r="R127" s="152"/>
      <c r="AD127" s="58"/>
    </row>
    <row r="128" spans="1:30" outlineLevel="1" x14ac:dyDescent="0.3">
      <c r="A128" s="152"/>
      <c r="B128" s="152"/>
      <c r="C128" s="152"/>
      <c r="D128" s="152"/>
      <c r="E128" s="152"/>
      <c r="F128" s="241"/>
      <c r="G128" s="245"/>
      <c r="I128" s="332"/>
      <c r="J128" s="568"/>
      <c r="K128" s="568"/>
      <c r="L128" s="620"/>
      <c r="M128" s="568"/>
      <c r="N128" s="152"/>
      <c r="O128" s="152"/>
      <c r="P128" s="152"/>
      <c r="Q128" s="152"/>
      <c r="R128" s="152"/>
      <c r="AD128" s="58"/>
    </row>
    <row r="129" spans="1:30" outlineLevel="1" x14ac:dyDescent="0.3">
      <c r="A129" s="152"/>
      <c r="B129" s="152"/>
      <c r="C129" s="152"/>
      <c r="D129" s="152"/>
      <c r="E129" s="152"/>
      <c r="F129" s="152"/>
      <c r="G129" s="185"/>
      <c r="I129" s="147" t="s">
        <v>151</v>
      </c>
      <c r="J129" s="566"/>
      <c r="K129" s="566"/>
      <c r="L129" s="620"/>
      <c r="M129" s="599">
        <f>(+PPE_Writeup+M123+M125)*Tax_Rate</f>
        <v>170.74391557502852</v>
      </c>
      <c r="N129" s="152"/>
      <c r="O129" s="152"/>
      <c r="P129" s="152"/>
      <c r="Q129" s="152"/>
      <c r="R129" s="152"/>
      <c r="AD129" s="58"/>
    </row>
    <row r="130" spans="1:30" x14ac:dyDescent="0.3">
      <c r="A130" s="152"/>
      <c r="B130" s="152"/>
      <c r="C130" s="152"/>
      <c r="G130" s="185"/>
      <c r="H130" s="185"/>
      <c r="I130" s="185"/>
      <c r="J130" s="185"/>
      <c r="K130" s="185"/>
      <c r="L130" s="185"/>
      <c r="M130" s="185"/>
      <c r="N130" s="152"/>
      <c r="O130" s="152"/>
      <c r="P130" s="152"/>
      <c r="Q130" s="152"/>
      <c r="R130" s="152"/>
      <c r="AD130" s="58"/>
    </row>
    <row r="131" spans="1:30" x14ac:dyDescent="0.3">
      <c r="A131" s="152"/>
      <c r="B131" s="171"/>
      <c r="C131" s="172"/>
      <c r="D131" s="172"/>
      <c r="E131" s="169"/>
      <c r="F131" s="157" t="s">
        <v>5</v>
      </c>
      <c r="G131" s="158"/>
      <c r="H131" s="159"/>
      <c r="I131" s="159"/>
      <c r="J131" s="165" t="s">
        <v>176</v>
      </c>
      <c r="K131" s="166"/>
      <c r="L131" s="167"/>
      <c r="M131" s="157" t="s">
        <v>10</v>
      </c>
      <c r="N131" s="158"/>
      <c r="O131" s="158"/>
      <c r="P131" s="158"/>
      <c r="Q131" s="159"/>
      <c r="R131" s="152"/>
      <c r="AD131" s="58"/>
    </row>
    <row r="132" spans="1:30" x14ac:dyDescent="0.3">
      <c r="A132" s="152"/>
      <c r="B132" s="173" t="s">
        <v>40</v>
      </c>
      <c r="C132" s="173"/>
      <c r="D132" s="173"/>
      <c r="E132" s="170" t="s">
        <v>0</v>
      </c>
      <c r="F132" s="160">
        <f>EOMONTH(G132,-12)</f>
        <v>40543</v>
      </c>
      <c r="G132" s="161">
        <f>EOMONTH(H132,-12)</f>
        <v>40908</v>
      </c>
      <c r="H132" s="161">
        <f>EOMONTH(I132,-12)</f>
        <v>41274</v>
      </c>
      <c r="I132" s="162">
        <f>Hist_Year</f>
        <v>41639</v>
      </c>
      <c r="J132" s="164" t="s">
        <v>174</v>
      </c>
      <c r="K132" s="164" t="s">
        <v>175</v>
      </c>
      <c r="L132" s="168">
        <f>I132</f>
        <v>41639</v>
      </c>
      <c r="M132" s="160">
        <f>EOMONTH(I132,12)</f>
        <v>42004</v>
      </c>
      <c r="N132" s="161">
        <f>EOMONTH(M132,12)</f>
        <v>42369</v>
      </c>
      <c r="O132" s="161">
        <f t="shared" ref="O132:Q132" si="7">EOMONTH(N132,12)</f>
        <v>42735</v>
      </c>
      <c r="P132" s="160">
        <f t="shared" si="7"/>
        <v>43100</v>
      </c>
      <c r="Q132" s="163">
        <f t="shared" si="7"/>
        <v>43465</v>
      </c>
      <c r="R132" s="152"/>
      <c r="AD132" s="58"/>
    </row>
    <row r="133" spans="1:30" outlineLevel="1" x14ac:dyDescent="0.3">
      <c r="A133" s="152"/>
      <c r="B133" s="152"/>
      <c r="C133" s="222"/>
      <c r="D133" s="152"/>
      <c r="E133" s="175"/>
      <c r="F133" s="249"/>
      <c r="G133" s="249"/>
      <c r="H133" s="249"/>
      <c r="I133" s="249"/>
      <c r="J133" s="547"/>
      <c r="K133" s="546"/>
      <c r="L133" s="548"/>
      <c r="M133" s="249"/>
      <c r="N133" s="249"/>
      <c r="O133" s="249"/>
      <c r="P133" s="249"/>
      <c r="Q133" s="249"/>
      <c r="R133" s="152"/>
      <c r="AD133" s="58"/>
    </row>
    <row r="134" spans="1:30" outlineLevel="1" x14ac:dyDescent="0.3">
      <c r="A134" s="152"/>
      <c r="B134" s="152"/>
      <c r="C134" s="240" t="s">
        <v>9</v>
      </c>
      <c r="D134" s="152"/>
      <c r="E134" s="175" t="s">
        <v>24</v>
      </c>
      <c r="F134" s="13">
        <v>497</v>
      </c>
      <c r="G134" s="15">
        <f>+F137</f>
        <v>507</v>
      </c>
      <c r="H134" s="15">
        <f>+G137</f>
        <v>507</v>
      </c>
      <c r="I134" s="15">
        <f>+H137</f>
        <v>514</v>
      </c>
      <c r="J134" s="62"/>
      <c r="K134" s="15"/>
      <c r="L134" s="71"/>
      <c r="M134" s="255">
        <f>+I137</f>
        <v>522</v>
      </c>
      <c r="N134" s="255">
        <f>+M137</f>
        <v>532</v>
      </c>
      <c r="O134" s="255">
        <f t="shared" ref="O134:Q134" si="8">+N137</f>
        <v>542</v>
      </c>
      <c r="P134" s="255">
        <f t="shared" si="8"/>
        <v>552</v>
      </c>
      <c r="Q134" s="255">
        <f t="shared" si="8"/>
        <v>562</v>
      </c>
      <c r="R134" s="152"/>
      <c r="AD134" s="152"/>
    </row>
    <row r="135" spans="1:30" outlineLevel="1" x14ac:dyDescent="0.3">
      <c r="A135" s="152"/>
      <c r="B135" s="152"/>
      <c r="C135" s="240" t="s">
        <v>433</v>
      </c>
      <c r="D135" s="152"/>
      <c r="E135" s="175" t="s">
        <v>24</v>
      </c>
      <c r="F135" s="13">
        <v>12</v>
      </c>
      <c r="G135" s="13">
        <v>4</v>
      </c>
      <c r="H135" s="13">
        <v>13</v>
      </c>
      <c r="I135" s="13">
        <v>13</v>
      </c>
      <c r="J135" s="61"/>
      <c r="K135" s="13"/>
      <c r="L135" s="70"/>
      <c r="M135" s="250">
        <v>15</v>
      </c>
      <c r="N135" s="248">
        <v>16</v>
      </c>
      <c r="O135" s="248">
        <v>16</v>
      </c>
      <c r="P135" s="248">
        <v>17</v>
      </c>
      <c r="Q135" s="248">
        <v>17</v>
      </c>
      <c r="R135" s="152"/>
      <c r="AD135" s="58"/>
    </row>
    <row r="136" spans="1:30" outlineLevel="1" x14ac:dyDescent="0.3">
      <c r="A136" s="152"/>
      <c r="B136" s="152"/>
      <c r="C136" s="335" t="s">
        <v>434</v>
      </c>
      <c r="D136" s="244"/>
      <c r="E136" s="178" t="s">
        <v>24</v>
      </c>
      <c r="F136" s="13">
        <v>-2</v>
      </c>
      <c r="G136" s="13">
        <v>-4</v>
      </c>
      <c r="H136" s="13">
        <v>-6</v>
      </c>
      <c r="I136" s="13">
        <v>-5</v>
      </c>
      <c r="J136" s="61"/>
      <c r="K136" s="13"/>
      <c r="L136" s="70"/>
      <c r="M136" s="250">
        <v>-5</v>
      </c>
      <c r="N136" s="248">
        <v>-6</v>
      </c>
      <c r="O136" s="248">
        <v>-6</v>
      </c>
      <c r="P136" s="248">
        <v>-7</v>
      </c>
      <c r="Q136" s="248">
        <v>-7</v>
      </c>
      <c r="R136" s="152"/>
      <c r="AD136" s="58"/>
    </row>
    <row r="137" spans="1:30" outlineLevel="1" x14ac:dyDescent="0.3">
      <c r="A137" s="152"/>
      <c r="B137" s="152"/>
      <c r="C137" s="210" t="s">
        <v>8</v>
      </c>
      <c r="D137" s="152"/>
      <c r="E137" s="175" t="s">
        <v>24</v>
      </c>
      <c r="F137" s="14">
        <f>SUM(F134:F136)</f>
        <v>507</v>
      </c>
      <c r="G137" s="14">
        <f>SUM(G134:G136)</f>
        <v>507</v>
      </c>
      <c r="H137" s="14">
        <f>SUM(H134:H136)</f>
        <v>514</v>
      </c>
      <c r="I137" s="14">
        <f>SUM(I134:I136)</f>
        <v>522</v>
      </c>
      <c r="J137" s="63"/>
      <c r="K137" s="14"/>
      <c r="L137" s="72"/>
      <c r="M137" s="545">
        <f>SUM(M134:M136)</f>
        <v>532</v>
      </c>
      <c r="N137" s="545">
        <f t="shared" ref="N137:Q137" si="9">SUM(N134:N136)</f>
        <v>542</v>
      </c>
      <c r="O137" s="545">
        <f t="shared" si="9"/>
        <v>552</v>
      </c>
      <c r="P137" s="545">
        <f t="shared" si="9"/>
        <v>562</v>
      </c>
      <c r="Q137" s="545">
        <f t="shared" si="9"/>
        <v>572</v>
      </c>
      <c r="R137" s="152"/>
      <c r="AD137" s="58"/>
    </row>
    <row r="138" spans="1:30" outlineLevel="1" x14ac:dyDescent="0.3">
      <c r="A138" s="152"/>
      <c r="B138" s="152"/>
      <c r="C138" s="16" t="s">
        <v>11</v>
      </c>
      <c r="D138" s="152"/>
      <c r="E138" s="175" t="s">
        <v>28</v>
      </c>
      <c r="F138" s="4"/>
      <c r="G138" s="4"/>
      <c r="H138" s="10"/>
      <c r="I138" s="10"/>
      <c r="J138" s="65"/>
      <c r="K138" s="10"/>
      <c r="L138" s="74"/>
      <c r="M138" s="17">
        <f>+M137/I137-1</f>
        <v>1.9157088122605304E-2</v>
      </c>
      <c r="N138" s="17">
        <f>+N137/M137-1</f>
        <v>1.8796992481203034E-2</v>
      </c>
      <c r="O138" s="17">
        <f t="shared" ref="O138:Q138" si="10">+O137/N137-1</f>
        <v>1.8450184501844991E-2</v>
      </c>
      <c r="P138" s="17">
        <f t="shared" si="10"/>
        <v>1.8115942028985588E-2</v>
      </c>
      <c r="Q138" s="17">
        <f t="shared" si="10"/>
        <v>1.7793594306049876E-2</v>
      </c>
      <c r="R138" s="152"/>
      <c r="AD138" s="58"/>
    </row>
    <row r="139" spans="1:30" outlineLevel="1" x14ac:dyDescent="0.3">
      <c r="A139" s="152"/>
      <c r="B139" s="152"/>
      <c r="C139" s="222"/>
      <c r="D139" s="152"/>
      <c r="E139" s="175"/>
      <c r="F139" s="4"/>
      <c r="G139" s="4"/>
      <c r="H139" s="10"/>
      <c r="I139" s="10"/>
      <c r="J139" s="65"/>
      <c r="K139" s="10"/>
      <c r="L139" s="74"/>
      <c r="M139" s="257"/>
      <c r="N139" s="257"/>
      <c r="O139" s="257"/>
      <c r="P139" s="257"/>
      <c r="Q139" s="257"/>
      <c r="R139" s="152"/>
      <c r="AD139" s="58"/>
    </row>
    <row r="140" spans="1:30" outlineLevel="1" x14ac:dyDescent="0.3">
      <c r="A140" s="152"/>
      <c r="B140" s="152"/>
      <c r="C140" s="240" t="s">
        <v>441</v>
      </c>
      <c r="D140" s="152"/>
      <c r="E140" s="175" t="s">
        <v>24</v>
      </c>
      <c r="F140" s="4"/>
      <c r="G140" s="4"/>
      <c r="H140" s="10"/>
      <c r="I140" s="10"/>
      <c r="J140" s="65"/>
      <c r="K140" s="10"/>
      <c r="L140" s="74"/>
      <c r="M140" s="255">
        <f>+I137</f>
        <v>522</v>
      </c>
      <c r="N140" s="255">
        <f>+M143</f>
        <v>532</v>
      </c>
      <c r="O140" s="255">
        <f t="shared" ref="O140:Q140" si="11">+N143</f>
        <v>542</v>
      </c>
      <c r="P140" s="255">
        <f t="shared" si="11"/>
        <v>552</v>
      </c>
      <c r="Q140" s="255">
        <f t="shared" si="11"/>
        <v>562</v>
      </c>
      <c r="R140" s="152"/>
      <c r="AD140" s="58"/>
    </row>
    <row r="141" spans="1:30" outlineLevel="1" x14ac:dyDescent="0.3">
      <c r="A141" s="152"/>
      <c r="B141" s="152"/>
      <c r="C141" s="240" t="s">
        <v>442</v>
      </c>
      <c r="D141" s="152"/>
      <c r="E141" s="175" t="s">
        <v>24</v>
      </c>
      <c r="F141" s="4"/>
      <c r="G141" s="4"/>
      <c r="H141" s="10"/>
      <c r="I141" s="10"/>
      <c r="J141" s="65"/>
      <c r="K141" s="10"/>
      <c r="L141" s="74"/>
      <c r="M141" s="255">
        <f t="shared" ref="M141:Q142" si="12">+M135*(1+Num_Store_Toggle)</f>
        <v>15</v>
      </c>
      <c r="N141" s="255">
        <f t="shared" si="12"/>
        <v>16</v>
      </c>
      <c r="O141" s="255">
        <f t="shared" si="12"/>
        <v>16</v>
      </c>
      <c r="P141" s="255">
        <f t="shared" si="12"/>
        <v>17</v>
      </c>
      <c r="Q141" s="255">
        <f t="shared" si="12"/>
        <v>17</v>
      </c>
      <c r="R141" s="152"/>
      <c r="AD141" s="58"/>
    </row>
    <row r="142" spans="1:30" outlineLevel="1" x14ac:dyDescent="0.3">
      <c r="A142" s="152"/>
      <c r="B142" s="152"/>
      <c r="C142" s="335" t="s">
        <v>443</v>
      </c>
      <c r="D142" s="244"/>
      <c r="E142" s="178" t="s">
        <v>24</v>
      </c>
      <c r="F142" s="5"/>
      <c r="G142" s="5"/>
      <c r="H142" s="441"/>
      <c r="I142" s="441"/>
      <c r="J142" s="450"/>
      <c r="K142" s="441"/>
      <c r="L142" s="451"/>
      <c r="M142" s="557">
        <f t="shared" si="12"/>
        <v>-5</v>
      </c>
      <c r="N142" s="557">
        <f t="shared" si="12"/>
        <v>-6</v>
      </c>
      <c r="O142" s="557">
        <f t="shared" si="12"/>
        <v>-6</v>
      </c>
      <c r="P142" s="557">
        <f t="shared" si="12"/>
        <v>-7</v>
      </c>
      <c r="Q142" s="557">
        <f t="shared" si="12"/>
        <v>-7</v>
      </c>
      <c r="R142" s="152"/>
      <c r="AD142" s="152"/>
    </row>
    <row r="143" spans="1:30" outlineLevel="1" x14ac:dyDescent="0.3">
      <c r="A143" s="152"/>
      <c r="B143" s="152"/>
      <c r="C143" s="7" t="s">
        <v>414</v>
      </c>
      <c r="D143" s="152"/>
      <c r="E143" s="175" t="s">
        <v>24</v>
      </c>
      <c r="F143" s="4"/>
      <c r="G143" s="4"/>
      <c r="H143" s="10"/>
      <c r="I143" s="10"/>
      <c r="J143" s="65"/>
      <c r="K143" s="10"/>
      <c r="L143" s="74"/>
      <c r="M143" s="532">
        <f>SUM(M140:M142)</f>
        <v>532</v>
      </c>
      <c r="N143" s="532">
        <f t="shared" ref="N143:Q143" si="13">SUM(N140:N142)</f>
        <v>542</v>
      </c>
      <c r="O143" s="532">
        <f t="shared" si="13"/>
        <v>552</v>
      </c>
      <c r="P143" s="532">
        <f t="shared" si="13"/>
        <v>562</v>
      </c>
      <c r="Q143" s="532">
        <f t="shared" si="13"/>
        <v>572</v>
      </c>
      <c r="R143" s="152"/>
      <c r="AD143" s="58"/>
    </row>
    <row r="144" spans="1:30" outlineLevel="1" x14ac:dyDescent="0.3">
      <c r="A144" s="152"/>
      <c r="B144" s="152"/>
      <c r="C144" s="16" t="s">
        <v>11</v>
      </c>
      <c r="D144" s="152"/>
      <c r="E144" s="175" t="s">
        <v>28</v>
      </c>
      <c r="F144" s="4"/>
      <c r="G144" s="4"/>
      <c r="H144" s="10"/>
      <c r="I144" s="10"/>
      <c r="J144" s="65"/>
      <c r="K144" s="10"/>
      <c r="L144" s="74"/>
      <c r="M144" s="17">
        <f>+M143/I137-1</f>
        <v>1.9157088122605304E-2</v>
      </c>
      <c r="N144" s="17">
        <f>+N143/M143-1</f>
        <v>1.8796992481203034E-2</v>
      </c>
      <c r="O144" s="17">
        <f>+O143/N143-1</f>
        <v>1.8450184501844991E-2</v>
      </c>
      <c r="P144" s="17">
        <f>+P143/O143-1</f>
        <v>1.8115942028985588E-2</v>
      </c>
      <c r="Q144" s="17">
        <f>+Q143/P143-1</f>
        <v>1.7793594306049876E-2</v>
      </c>
      <c r="R144" s="152"/>
      <c r="AD144" s="58"/>
    </row>
    <row r="145" spans="1:30" outlineLevel="1" x14ac:dyDescent="0.3">
      <c r="A145" s="152"/>
      <c r="B145" s="152"/>
      <c r="C145" s="222"/>
      <c r="D145" s="152"/>
      <c r="E145" s="175"/>
      <c r="F145" s="4"/>
      <c r="G145" s="4"/>
      <c r="H145" s="10"/>
      <c r="I145" s="10"/>
      <c r="J145" s="65"/>
      <c r="K145" s="10"/>
      <c r="L145" s="74"/>
      <c r="M145" s="257"/>
      <c r="N145" s="257"/>
      <c r="O145" s="257"/>
      <c r="P145" s="257"/>
      <c r="Q145" s="257"/>
      <c r="R145" s="152"/>
      <c r="AD145" s="58"/>
    </row>
    <row r="146" spans="1:30" outlineLevel="1" x14ac:dyDescent="0.3">
      <c r="A146" s="152"/>
      <c r="B146" s="152"/>
      <c r="C146" s="222" t="s">
        <v>439</v>
      </c>
      <c r="D146" s="152"/>
      <c r="E146" s="175" t="s">
        <v>16</v>
      </c>
      <c r="F146" s="18">
        <v>1614</v>
      </c>
      <c r="G146" s="18">
        <v>1596</v>
      </c>
      <c r="H146" s="18">
        <v>1553</v>
      </c>
      <c r="I146" s="18">
        <v>1573</v>
      </c>
      <c r="J146" s="65"/>
      <c r="K146" s="10"/>
      <c r="L146" s="74"/>
      <c r="M146" s="258">
        <f>+I146*(1+M147)</f>
        <v>1588.73</v>
      </c>
      <c r="N146" s="258">
        <f>+M146*(1+N147)</f>
        <v>1604.6173000000001</v>
      </c>
      <c r="O146" s="258">
        <f t="shared" ref="O146" si="14">+N146*(1+O147)</f>
        <v>1620.6634730000001</v>
      </c>
      <c r="P146" s="258">
        <f t="shared" ref="P146" si="15">+O146*(1+P147)</f>
        <v>1636.87010773</v>
      </c>
      <c r="Q146" s="258">
        <f t="shared" ref="Q146" si="16">+P146*(1+Q147)</f>
        <v>1653.2388088073001</v>
      </c>
      <c r="R146" s="152"/>
      <c r="AD146" s="58"/>
    </row>
    <row r="147" spans="1:30" outlineLevel="1" x14ac:dyDescent="0.3">
      <c r="A147" s="152"/>
      <c r="B147" s="152"/>
      <c r="C147" s="240" t="s">
        <v>440</v>
      </c>
      <c r="D147" s="152"/>
      <c r="E147" s="175" t="s">
        <v>28</v>
      </c>
      <c r="F147" s="13"/>
      <c r="G147" s="13"/>
      <c r="H147" s="13"/>
      <c r="I147" s="13"/>
      <c r="J147" s="61"/>
      <c r="K147" s="13"/>
      <c r="L147" s="70"/>
      <c r="M147" s="252">
        <v>0.01</v>
      </c>
      <c r="N147" s="247">
        <v>0.01</v>
      </c>
      <c r="O147" s="247">
        <v>0.01</v>
      </c>
      <c r="P147" s="247">
        <v>0.01</v>
      </c>
      <c r="Q147" s="247">
        <v>0.01</v>
      </c>
      <c r="R147" s="152"/>
      <c r="AD147" s="58"/>
    </row>
    <row r="148" spans="1:30" outlineLevel="1" x14ac:dyDescent="0.3">
      <c r="A148" s="152"/>
      <c r="B148" s="152"/>
      <c r="C148" s="222"/>
      <c r="D148" s="152"/>
      <c r="E148" s="175"/>
      <c r="F148" s="4"/>
      <c r="G148" s="4"/>
      <c r="H148" s="10"/>
      <c r="I148" s="10"/>
      <c r="J148" s="65"/>
      <c r="K148" s="10"/>
      <c r="L148" s="74"/>
      <c r="M148" s="257"/>
      <c r="N148" s="257"/>
      <c r="O148" s="257"/>
      <c r="P148" s="257"/>
      <c r="Q148" s="257"/>
      <c r="R148" s="152"/>
      <c r="AD148" s="58"/>
    </row>
    <row r="149" spans="1:30" outlineLevel="1" x14ac:dyDescent="0.3">
      <c r="A149" s="152"/>
      <c r="B149" s="152"/>
      <c r="C149" s="222" t="s">
        <v>412</v>
      </c>
      <c r="D149" s="152"/>
      <c r="E149" s="175" t="s">
        <v>16</v>
      </c>
      <c r="F149" s="24"/>
      <c r="G149" s="24"/>
      <c r="H149" s="24"/>
      <c r="I149" s="24"/>
      <c r="J149" s="66"/>
      <c r="K149" s="18"/>
      <c r="L149" s="75"/>
      <c r="M149" s="258">
        <f>+M146*(1+Sales_per_Store_Toggle)</f>
        <v>1588.73</v>
      </c>
      <c r="N149" s="258">
        <f>+N146*(1+Sales_per_Store_Toggle)</f>
        <v>1604.6173000000001</v>
      </c>
      <c r="O149" s="258">
        <f>+O146*(1+Sales_per_Store_Toggle)</f>
        <v>1620.6634730000001</v>
      </c>
      <c r="P149" s="258">
        <f>+P146*(1+Sales_per_Store_Toggle)</f>
        <v>1636.87010773</v>
      </c>
      <c r="Q149" s="258">
        <f>+Q146*(1+Sales_per_Store_Toggle)</f>
        <v>1653.2388088073001</v>
      </c>
      <c r="R149" s="152"/>
      <c r="AD149" s="58"/>
    </row>
    <row r="150" spans="1:30" outlineLevel="1" x14ac:dyDescent="0.3">
      <c r="A150" s="152"/>
      <c r="B150" s="152"/>
      <c r="C150" s="222"/>
      <c r="D150" s="152"/>
      <c r="E150" s="259"/>
      <c r="F150" s="18"/>
      <c r="G150" s="18"/>
      <c r="H150" s="18"/>
      <c r="I150" s="18"/>
      <c r="J150" s="66"/>
      <c r="K150" s="18"/>
      <c r="L150" s="75"/>
      <c r="M150" s="257"/>
      <c r="N150" s="257"/>
      <c r="O150" s="257"/>
      <c r="P150" s="257"/>
      <c r="Q150" s="257"/>
      <c r="R150" s="152"/>
      <c r="AD150" s="58"/>
    </row>
    <row r="151" spans="1:30" outlineLevel="1" x14ac:dyDescent="0.3">
      <c r="A151" s="152"/>
      <c r="B151" s="152"/>
      <c r="C151" s="222" t="s">
        <v>413</v>
      </c>
      <c r="D151" s="152"/>
      <c r="E151" s="175" t="s">
        <v>16</v>
      </c>
      <c r="F151" s="24">
        <f>+F160/(+F137-F156)*Units</f>
        <v>1462.088235294118</v>
      </c>
      <c r="G151" s="24">
        <f>+G160/(+G137-G156)*Units</f>
        <v>1806.0624999999995</v>
      </c>
      <c r="H151" s="24">
        <f>+H160/(+H137-H156)*Units</f>
        <v>1573.4411764705835</v>
      </c>
      <c r="I151" s="24">
        <f>+I160/(+I137-I156)*Units</f>
        <v>1454.9729729729745</v>
      </c>
      <c r="J151" s="67"/>
      <c r="K151" s="24"/>
      <c r="L151" s="76"/>
      <c r="M151" s="258">
        <f>+I151*(1+M152)</f>
        <v>1440.4232432432448</v>
      </c>
      <c r="N151" s="258">
        <f>+M151*(1+N152)</f>
        <v>1426.0190108108122</v>
      </c>
      <c r="O151" s="258">
        <f t="shared" ref="O151:Q151" si="17">+N151*(1+O152)</f>
        <v>1411.758820702704</v>
      </c>
      <c r="P151" s="258">
        <f t="shared" si="17"/>
        <v>1397.6412324956771</v>
      </c>
      <c r="Q151" s="258">
        <f t="shared" si="17"/>
        <v>1383.6648201707203</v>
      </c>
      <c r="R151" s="152"/>
      <c r="AD151" s="58"/>
    </row>
    <row r="152" spans="1:30" outlineLevel="1" x14ac:dyDescent="0.3">
      <c r="A152" s="152"/>
      <c r="B152" s="152"/>
      <c r="C152" s="240" t="s">
        <v>411</v>
      </c>
      <c r="D152" s="152"/>
      <c r="E152" s="175" t="s">
        <v>28</v>
      </c>
      <c r="F152" s="13"/>
      <c r="G152" s="13"/>
      <c r="H152" s="13"/>
      <c r="I152" s="13"/>
      <c r="J152" s="61"/>
      <c r="K152" s="13"/>
      <c r="L152" s="70"/>
      <c r="M152" s="252">
        <v>-0.01</v>
      </c>
      <c r="N152" s="247">
        <v>-0.01</v>
      </c>
      <c r="O152" s="247">
        <v>-0.01</v>
      </c>
      <c r="P152" s="247">
        <v>-0.01</v>
      </c>
      <c r="Q152" s="247">
        <v>-0.01</v>
      </c>
      <c r="R152" s="152"/>
      <c r="AD152" s="58"/>
    </row>
    <row r="153" spans="1:30" outlineLevel="1" x14ac:dyDescent="0.3">
      <c r="A153" s="152"/>
      <c r="B153" s="152"/>
      <c r="C153" s="222"/>
      <c r="D153" s="152"/>
      <c r="E153" s="259"/>
      <c r="F153" s="18"/>
      <c r="G153" s="18"/>
      <c r="H153" s="18"/>
      <c r="I153" s="18"/>
      <c r="J153" s="66"/>
      <c r="K153" s="18"/>
      <c r="L153" s="75"/>
      <c r="M153" s="257"/>
      <c r="N153" s="257"/>
      <c r="O153" s="257"/>
      <c r="P153" s="257"/>
      <c r="Q153" s="257"/>
      <c r="R153" s="152"/>
      <c r="AD153" s="58"/>
    </row>
    <row r="154" spans="1:30" outlineLevel="1" x14ac:dyDescent="0.3">
      <c r="A154" s="152"/>
      <c r="B154" s="152"/>
      <c r="C154" s="222" t="s">
        <v>415</v>
      </c>
      <c r="D154" s="152"/>
      <c r="E154" s="175" t="s">
        <v>16</v>
      </c>
      <c r="F154" s="18"/>
      <c r="G154" s="18"/>
      <c r="H154" s="18"/>
      <c r="I154" s="18"/>
      <c r="J154" s="66"/>
      <c r="K154" s="18"/>
      <c r="L154" s="75"/>
      <c r="M154" s="258">
        <f>+M151*(1+Sales_per_Store_Toggle)</f>
        <v>1440.4232432432448</v>
      </c>
      <c r="N154" s="258">
        <f>+N151*(1+Sales_per_Store_Toggle)</f>
        <v>1426.0190108108122</v>
      </c>
      <c r="O154" s="258">
        <f>+O151*(1+Sales_per_Store_Toggle)</f>
        <v>1411.758820702704</v>
      </c>
      <c r="P154" s="258">
        <f>+P151*(1+Sales_per_Store_Toggle)</f>
        <v>1397.6412324956771</v>
      </c>
      <c r="Q154" s="258">
        <f>+Q151*(1+Sales_per_Store_Toggle)</f>
        <v>1383.6648201707203</v>
      </c>
      <c r="R154" s="152"/>
      <c r="AD154" s="58"/>
    </row>
    <row r="155" spans="1:30" outlineLevel="1" x14ac:dyDescent="0.3">
      <c r="A155" s="152"/>
      <c r="B155" s="152"/>
      <c r="C155" s="222"/>
      <c r="D155" s="152"/>
      <c r="E155" s="259"/>
      <c r="F155" s="18"/>
      <c r="G155" s="18"/>
      <c r="H155" s="18"/>
      <c r="I155" s="18"/>
      <c r="J155" s="66"/>
      <c r="K155" s="18"/>
      <c r="L155" s="75"/>
      <c r="M155" s="257"/>
      <c r="N155" s="257"/>
      <c r="O155" s="257"/>
      <c r="P155" s="257"/>
      <c r="Q155" s="257"/>
      <c r="R155" s="152"/>
      <c r="AD155" s="58"/>
    </row>
    <row r="156" spans="1:30" outlineLevel="1" x14ac:dyDescent="0.3">
      <c r="A156" s="152"/>
      <c r="B156" s="152"/>
      <c r="C156" s="260" t="s">
        <v>12</v>
      </c>
      <c r="D156" s="152"/>
      <c r="E156" s="175" t="s">
        <v>24</v>
      </c>
      <c r="F156" s="13">
        <v>473</v>
      </c>
      <c r="G156" s="13">
        <v>475</v>
      </c>
      <c r="H156" s="13">
        <v>480</v>
      </c>
      <c r="I156" s="13">
        <v>485</v>
      </c>
      <c r="J156" s="61"/>
      <c r="K156" s="13"/>
      <c r="L156" s="70"/>
      <c r="M156" s="255">
        <f>+M157*M143</f>
        <v>496.46152209776051</v>
      </c>
      <c r="N156" s="255">
        <f t="shared" ref="N156:Q156" si="18">+N157*N143</f>
        <v>505.79350559583867</v>
      </c>
      <c r="O156" s="255">
        <f t="shared" si="18"/>
        <v>515.12548909391694</v>
      </c>
      <c r="P156" s="255">
        <f t="shared" si="18"/>
        <v>524.45747259199504</v>
      </c>
      <c r="Q156" s="255">
        <f t="shared" si="18"/>
        <v>533.78945609007326</v>
      </c>
      <c r="R156" s="152"/>
      <c r="AD156" s="58"/>
    </row>
    <row r="157" spans="1:30" outlineLevel="1" x14ac:dyDescent="0.3">
      <c r="A157" s="152"/>
      <c r="B157" s="152"/>
      <c r="C157" s="260" t="s">
        <v>13</v>
      </c>
      <c r="D157" s="152"/>
      <c r="E157" s="175" t="s">
        <v>28</v>
      </c>
      <c r="F157" s="40">
        <f>+F156/F137</f>
        <v>0.93293885601577908</v>
      </c>
      <c r="G157" s="40">
        <f>+G156/G137</f>
        <v>0.93688362919132151</v>
      </c>
      <c r="H157" s="40">
        <f>+H156/H137</f>
        <v>0.93385214007782102</v>
      </c>
      <c r="I157" s="40">
        <f>+I156/I137</f>
        <v>0.92911877394636011</v>
      </c>
      <c r="J157" s="64"/>
      <c r="K157" s="17"/>
      <c r="L157" s="73"/>
      <c r="M157" s="266">
        <f>AVERAGE(F157:I157)</f>
        <v>0.93319834980782046</v>
      </c>
      <c r="N157" s="267">
        <f>+M157</f>
        <v>0.93319834980782046</v>
      </c>
      <c r="O157" s="267">
        <f t="shared" ref="O157:Q157" si="19">+N157</f>
        <v>0.93319834980782046</v>
      </c>
      <c r="P157" s="267">
        <f t="shared" si="19"/>
        <v>0.93319834980782046</v>
      </c>
      <c r="Q157" s="267">
        <f t="shared" si="19"/>
        <v>0.93319834980782046</v>
      </c>
      <c r="R157" s="152"/>
      <c r="AD157" s="58"/>
    </row>
    <row r="158" spans="1:30" outlineLevel="1" x14ac:dyDescent="0.3">
      <c r="A158" s="152"/>
      <c r="B158" s="152"/>
      <c r="C158" s="260"/>
      <c r="D158" s="152"/>
      <c r="E158" s="175"/>
      <c r="F158" s="17"/>
      <c r="G158" s="17"/>
      <c r="H158" s="17"/>
      <c r="I158" s="17"/>
      <c r="J158" s="64"/>
      <c r="K158" s="17"/>
      <c r="L158" s="73"/>
      <c r="M158" s="17"/>
      <c r="N158" s="17"/>
      <c r="O158" s="17"/>
      <c r="P158" s="17"/>
      <c r="Q158" s="17"/>
      <c r="R158" s="152"/>
      <c r="AD158" s="58"/>
    </row>
    <row r="159" spans="1:30" outlineLevel="1" x14ac:dyDescent="0.3">
      <c r="A159" s="152"/>
      <c r="B159" s="152"/>
      <c r="C159" s="256" t="s">
        <v>15</v>
      </c>
      <c r="D159" s="152"/>
      <c r="E159" s="175" t="s">
        <v>14</v>
      </c>
      <c r="F159" s="298">
        <f>+F146*F156/Units</f>
        <v>763.42200000000003</v>
      </c>
      <c r="G159" s="298">
        <f>+G146*G156/Units</f>
        <v>758.1</v>
      </c>
      <c r="H159" s="298">
        <f>+H146*H156/Units</f>
        <v>745.44</v>
      </c>
      <c r="I159" s="298">
        <f>+I146*I156/Units</f>
        <v>762.90499999999997</v>
      </c>
      <c r="J159" s="262"/>
      <c r="K159" s="261"/>
      <c r="L159" s="263"/>
      <c r="M159" s="298">
        <f>+M149*M156/Units</f>
        <v>788.74331400237509</v>
      </c>
      <c r="N159" s="298">
        <f>+N149*N156/Units</f>
        <v>811.60500930672958</v>
      </c>
      <c r="O159" s="298">
        <f>+O149*O156/Units</f>
        <v>834.84506418577109</v>
      </c>
      <c r="P159" s="298">
        <f>+P149*P156/Units</f>
        <v>858.4687596614624</v>
      </c>
      <c r="Q159" s="298">
        <f>+Q149*Q156/Units</f>
        <v>882.4814445402493</v>
      </c>
      <c r="R159" s="152"/>
      <c r="AD159" s="58"/>
    </row>
    <row r="160" spans="1:30" outlineLevel="1" x14ac:dyDescent="0.3">
      <c r="A160" s="152"/>
      <c r="B160" s="152"/>
      <c r="C160" s="335" t="s">
        <v>26</v>
      </c>
      <c r="D160" s="244"/>
      <c r="E160" s="175" t="s">
        <v>14</v>
      </c>
      <c r="F160" s="298">
        <f>(+F264+F265)-F159</f>
        <v>49.711000000000013</v>
      </c>
      <c r="G160" s="298">
        <f>(+G264+G265)-G159</f>
        <v>57.793999999999983</v>
      </c>
      <c r="H160" s="298">
        <f>(+H264+H265)-H159</f>
        <v>53.496999999999844</v>
      </c>
      <c r="I160" s="298">
        <f>(+I264+I265)-I159</f>
        <v>53.83400000000006</v>
      </c>
      <c r="J160" s="262"/>
      <c r="K160" s="261"/>
      <c r="L160" s="263"/>
      <c r="M160" s="298">
        <f>+M151*(M143-M156)/Units</f>
        <v>51.190449599872196</v>
      </c>
      <c r="N160" s="298">
        <f>+N151*(N143-N156)/Units</f>
        <v>51.631149335149352</v>
      </c>
      <c r="O160" s="298">
        <f>+O151*(O143-O156)/Units</f>
        <v>52.057916030760815</v>
      </c>
      <c r="P160" s="298">
        <f>+P151*(P143-P156)/Units</f>
        <v>52.470984277526782</v>
      </c>
      <c r="Q160" s="298">
        <f>+Q151*(Q143-Q156)/Units</f>
        <v>52.870585367754195</v>
      </c>
      <c r="R160" s="152"/>
      <c r="AD160" s="58"/>
    </row>
    <row r="161" spans="1:30" outlineLevel="1" x14ac:dyDescent="0.3">
      <c r="A161" s="152"/>
      <c r="B161" s="152"/>
      <c r="C161" s="210" t="s">
        <v>27</v>
      </c>
      <c r="D161" s="152"/>
      <c r="E161" s="177" t="s">
        <v>14</v>
      </c>
      <c r="F161" s="46">
        <f>SUM(F159:F160)</f>
        <v>813.13300000000004</v>
      </c>
      <c r="G161" s="46">
        <f>SUM(G159:G160)</f>
        <v>815.89400000000001</v>
      </c>
      <c r="H161" s="46">
        <f t="shared" ref="H161:I161" si="20">SUM(H159:H160)</f>
        <v>798.9369999999999</v>
      </c>
      <c r="I161" s="46">
        <f t="shared" si="20"/>
        <v>816.73900000000003</v>
      </c>
      <c r="J161" s="68"/>
      <c r="K161" s="25"/>
      <c r="L161" s="77"/>
      <c r="M161" s="46">
        <f>SUM(M159:M160)</f>
        <v>839.93376360224727</v>
      </c>
      <c r="N161" s="46">
        <f t="shared" ref="N161:Q161" si="21">SUM(N159:N160)</f>
        <v>863.23615864187889</v>
      </c>
      <c r="O161" s="46">
        <f t="shared" si="21"/>
        <v>886.90298021653189</v>
      </c>
      <c r="P161" s="46">
        <f t="shared" si="21"/>
        <v>910.93974393898918</v>
      </c>
      <c r="Q161" s="46">
        <f t="shared" si="21"/>
        <v>935.35202990800349</v>
      </c>
      <c r="R161" s="152"/>
      <c r="AD161" s="58"/>
    </row>
    <row r="162" spans="1:30" outlineLevel="1" x14ac:dyDescent="0.3">
      <c r="A162" s="152"/>
      <c r="B162" s="152"/>
      <c r="C162" s="222"/>
      <c r="D162" s="152"/>
      <c r="E162" s="175"/>
      <c r="F162" s="4"/>
      <c r="G162" s="4"/>
      <c r="H162" s="223"/>
      <c r="I162" s="223"/>
      <c r="J162" s="264"/>
      <c r="K162" s="223"/>
      <c r="L162" s="265"/>
      <c r="M162" s="223"/>
      <c r="N162" s="223"/>
      <c r="O162" s="223"/>
      <c r="P162" s="223"/>
      <c r="Q162" s="223"/>
      <c r="R162" s="152"/>
      <c r="AD162" s="58"/>
    </row>
    <row r="163" spans="1:30" outlineLevel="1" x14ac:dyDescent="0.3">
      <c r="A163" s="152"/>
      <c r="B163" s="152"/>
      <c r="C163" s="240" t="s">
        <v>306</v>
      </c>
      <c r="D163" s="152"/>
      <c r="E163" s="175" t="s">
        <v>28</v>
      </c>
      <c r="F163" s="40">
        <f t="shared" ref="F163:I164" si="22">+F264/F$161</f>
        <v>0.48976120757612834</v>
      </c>
      <c r="G163" s="40">
        <f t="shared" si="22"/>
        <v>0.47666486087653542</v>
      </c>
      <c r="H163" s="40">
        <f t="shared" si="22"/>
        <v>0.4668052674991896</v>
      </c>
      <c r="I163" s="40">
        <f t="shared" si="22"/>
        <v>0.4512873757712072</v>
      </c>
      <c r="J163" s="69"/>
      <c r="K163" s="40"/>
      <c r="L163" s="78"/>
      <c r="M163" s="252">
        <v>0.45</v>
      </c>
      <c r="N163" s="247">
        <v>0.44500000000000001</v>
      </c>
      <c r="O163" s="247">
        <v>0.44</v>
      </c>
      <c r="P163" s="247">
        <v>0.435</v>
      </c>
      <c r="Q163" s="247">
        <v>0.43</v>
      </c>
      <c r="R163" s="152"/>
      <c r="AD163" s="58"/>
    </row>
    <row r="164" spans="1:30" outlineLevel="1" x14ac:dyDescent="0.3">
      <c r="A164" s="152"/>
      <c r="B164" s="152"/>
      <c r="C164" s="240" t="s">
        <v>435</v>
      </c>
      <c r="D164" s="152"/>
      <c r="E164" s="175" t="s">
        <v>28</v>
      </c>
      <c r="F164" s="40">
        <f t="shared" si="22"/>
        <v>0.5102387924238716</v>
      </c>
      <c r="G164" s="40">
        <f t="shared" si="22"/>
        <v>0.52333513912346452</v>
      </c>
      <c r="H164" s="40">
        <f t="shared" si="22"/>
        <v>0.53319473250081051</v>
      </c>
      <c r="I164" s="40">
        <f t="shared" si="22"/>
        <v>0.54871262422879274</v>
      </c>
      <c r="J164" s="69"/>
      <c r="K164" s="40"/>
      <c r="L164" s="78"/>
      <c r="M164" s="266">
        <f>1-M163</f>
        <v>0.55000000000000004</v>
      </c>
      <c r="N164" s="267">
        <f t="shared" ref="N164:Q164" si="23">1-N163</f>
        <v>0.55499999999999994</v>
      </c>
      <c r="O164" s="267">
        <f t="shared" si="23"/>
        <v>0.56000000000000005</v>
      </c>
      <c r="P164" s="267">
        <f t="shared" si="23"/>
        <v>0.56499999999999995</v>
      </c>
      <c r="Q164" s="267">
        <f t="shared" si="23"/>
        <v>0.57000000000000006</v>
      </c>
      <c r="R164" s="152"/>
      <c r="AD164" s="58"/>
    </row>
    <row r="165" spans="1:30" outlineLevel="1" x14ac:dyDescent="0.3">
      <c r="A165" s="152"/>
      <c r="B165" s="152"/>
      <c r="C165" s="12"/>
      <c r="D165" s="152"/>
      <c r="E165" s="4"/>
      <c r="F165" s="4"/>
      <c r="G165" s="17"/>
      <c r="H165" s="17"/>
      <c r="I165" s="17"/>
      <c r="J165" s="64"/>
      <c r="K165" s="17"/>
      <c r="L165" s="73"/>
      <c r="M165" s="268"/>
      <c r="N165" s="268"/>
      <c r="O165" s="268"/>
      <c r="P165" s="268"/>
      <c r="Q165" s="268"/>
      <c r="R165" s="152"/>
      <c r="AD165" s="58"/>
    </row>
    <row r="166" spans="1:30" outlineLevel="1" x14ac:dyDescent="0.3">
      <c r="A166" s="152"/>
      <c r="B166" s="152"/>
      <c r="C166" s="221" t="s">
        <v>19</v>
      </c>
      <c r="D166" s="152"/>
      <c r="E166" s="175" t="s">
        <v>14</v>
      </c>
      <c r="F166" s="298">
        <f>+F266</f>
        <v>4.1150000000000002</v>
      </c>
      <c r="G166" s="298">
        <f t="shared" ref="G166:I166" si="24">+G266</f>
        <v>5.2839999999999998</v>
      </c>
      <c r="H166" s="298">
        <f t="shared" si="24"/>
        <v>4.5430000000000001</v>
      </c>
      <c r="I166" s="298">
        <f t="shared" si="24"/>
        <v>4.9820000000000002</v>
      </c>
      <c r="J166" s="64"/>
      <c r="K166" s="17"/>
      <c r="L166" s="73"/>
      <c r="M166" s="288">
        <f>AVERAGE(F166:I166)</f>
        <v>4.7309999999999999</v>
      </c>
      <c r="N166" s="289">
        <f>+M166</f>
        <v>4.7309999999999999</v>
      </c>
      <c r="O166" s="289">
        <f t="shared" ref="O166:Q166" si="25">+N166</f>
        <v>4.7309999999999999</v>
      </c>
      <c r="P166" s="289">
        <f t="shared" si="25"/>
        <v>4.7309999999999999</v>
      </c>
      <c r="Q166" s="289">
        <f t="shared" si="25"/>
        <v>4.7309999999999999</v>
      </c>
      <c r="R166" s="152"/>
      <c r="AD166" s="58"/>
    </row>
    <row r="167" spans="1:30" x14ac:dyDescent="0.3">
      <c r="A167" s="152"/>
      <c r="B167" s="152"/>
      <c r="C167" s="12"/>
      <c r="D167" s="152"/>
      <c r="E167" s="4"/>
      <c r="F167" s="4"/>
      <c r="G167" s="17"/>
      <c r="H167" s="17"/>
      <c r="I167" s="17"/>
      <c r="J167" s="17"/>
      <c r="K167" s="17"/>
      <c r="L167" s="17"/>
      <c r="M167" s="268"/>
      <c r="N167" s="268"/>
      <c r="O167" s="268"/>
      <c r="P167" s="268"/>
      <c r="Q167" s="268"/>
      <c r="R167" s="152"/>
      <c r="AD167" s="58"/>
    </row>
    <row r="168" spans="1:30" x14ac:dyDescent="0.3">
      <c r="A168" s="152"/>
      <c r="B168" s="171"/>
      <c r="C168" s="172"/>
      <c r="D168" s="172"/>
      <c r="E168" s="169"/>
      <c r="F168" s="157" t="str">
        <f>$F$131</f>
        <v>Historical</v>
      </c>
      <c r="G168" s="158"/>
      <c r="H168" s="159"/>
      <c r="I168" s="159"/>
      <c r="J168" s="165" t="str">
        <f>$J$131</f>
        <v>Transaction Adjustments</v>
      </c>
      <c r="K168" s="166"/>
      <c r="L168" s="167"/>
      <c r="M168" s="157" t="str">
        <f>$M$131</f>
        <v>Projected</v>
      </c>
      <c r="N168" s="158"/>
      <c r="O168" s="158"/>
      <c r="P168" s="158"/>
      <c r="Q168" s="159"/>
      <c r="R168" s="152"/>
      <c r="AD168" s="58"/>
    </row>
    <row r="169" spans="1:30" x14ac:dyDescent="0.3">
      <c r="A169" s="152"/>
      <c r="B169" s="173" t="s">
        <v>41</v>
      </c>
      <c r="C169" s="173"/>
      <c r="D169" s="173"/>
      <c r="E169" s="170" t="str">
        <f>$E$132</f>
        <v>Units</v>
      </c>
      <c r="F169" s="160">
        <f>$F$132</f>
        <v>40543</v>
      </c>
      <c r="G169" s="161">
        <f>$G$132</f>
        <v>40908</v>
      </c>
      <c r="H169" s="161">
        <f>$H$132</f>
        <v>41274</v>
      </c>
      <c r="I169" s="162">
        <f>$I$132</f>
        <v>41639</v>
      </c>
      <c r="J169" s="164" t="str">
        <f>$J$132</f>
        <v xml:space="preserve">Debit </v>
      </c>
      <c r="K169" s="164" t="str">
        <f>$K$132</f>
        <v>Credit</v>
      </c>
      <c r="L169" s="168">
        <f>$L$132</f>
        <v>41639</v>
      </c>
      <c r="M169" s="160">
        <f>$M$132</f>
        <v>42004</v>
      </c>
      <c r="N169" s="161">
        <f>$N$132</f>
        <v>42369</v>
      </c>
      <c r="O169" s="161">
        <f>$O$132</f>
        <v>42735</v>
      </c>
      <c r="P169" s="160">
        <f>$P$132</f>
        <v>43100</v>
      </c>
      <c r="Q169" s="163">
        <f>$Q$132</f>
        <v>43465</v>
      </c>
      <c r="R169" s="152"/>
      <c r="AD169" s="58"/>
    </row>
    <row r="170" spans="1:30" outlineLevel="1" x14ac:dyDescent="0.3">
      <c r="A170" s="152"/>
      <c r="B170" s="152"/>
      <c r="C170" s="152"/>
      <c r="D170" s="152"/>
      <c r="E170" s="152"/>
      <c r="F170" s="152"/>
      <c r="G170" s="152"/>
      <c r="H170" s="152"/>
      <c r="I170" s="152"/>
      <c r="J170" s="269"/>
      <c r="K170" s="365"/>
      <c r="L170" s="270"/>
      <c r="M170" s="152"/>
      <c r="N170" s="152"/>
      <c r="O170" s="152"/>
      <c r="P170" s="152"/>
      <c r="Q170" s="152"/>
      <c r="R170" s="152"/>
      <c r="AD170" s="58"/>
    </row>
    <row r="171" spans="1:30" outlineLevel="1" x14ac:dyDescent="0.3">
      <c r="A171" s="152"/>
      <c r="B171" s="152"/>
      <c r="C171" s="221" t="s">
        <v>431</v>
      </c>
      <c r="D171" s="152"/>
      <c r="E171" s="175" t="s">
        <v>28</v>
      </c>
      <c r="F171" s="271">
        <f t="shared" ref="F171" si="26">+F271/F264</f>
        <v>0.22762347422791729</v>
      </c>
      <c r="G171" s="271">
        <f t="shared" ref="G171:I172" si="27">+G271/G264</f>
        <v>0.24681672786365927</v>
      </c>
      <c r="H171" s="271">
        <f t="shared" si="27"/>
        <v>0.2504826410116156</v>
      </c>
      <c r="I171" s="271">
        <f t="shared" si="27"/>
        <v>0.24516256809845247</v>
      </c>
      <c r="J171" s="272"/>
      <c r="K171" s="271"/>
      <c r="L171" s="273"/>
      <c r="M171" s="266">
        <f>AVERAGE(F171:I171)</f>
        <v>0.24252135280041118</v>
      </c>
      <c r="N171" s="267">
        <f>+M171</f>
        <v>0.24252135280041118</v>
      </c>
      <c r="O171" s="267">
        <f t="shared" ref="O171:Q171" si="28">+N171</f>
        <v>0.24252135280041118</v>
      </c>
      <c r="P171" s="267">
        <f t="shared" si="28"/>
        <v>0.24252135280041118</v>
      </c>
      <c r="Q171" s="267">
        <f t="shared" si="28"/>
        <v>0.24252135280041118</v>
      </c>
      <c r="R171" s="152"/>
      <c r="AD171" s="58"/>
    </row>
    <row r="172" spans="1:30" outlineLevel="1" x14ac:dyDescent="0.3">
      <c r="A172" s="152"/>
      <c r="B172" s="152"/>
      <c r="C172" s="221" t="s">
        <v>432</v>
      </c>
      <c r="D172" s="152"/>
      <c r="E172" s="175" t="s">
        <v>28</v>
      </c>
      <c r="F172" s="271">
        <f t="shared" ref="F172" si="29">+F272/F265</f>
        <v>8.2510629272196129E-2</v>
      </c>
      <c r="G172" s="271">
        <f t="shared" si="27"/>
        <v>7.5791712140444889E-2</v>
      </c>
      <c r="H172" s="271">
        <f t="shared" si="27"/>
        <v>7.2431447760388179E-2</v>
      </c>
      <c r="I172" s="271">
        <f t="shared" si="27"/>
        <v>6.6439066840713587E-2</v>
      </c>
      <c r="J172" s="272"/>
      <c r="K172" s="271"/>
      <c r="L172" s="273"/>
      <c r="M172" s="252">
        <v>6.4000000000000001E-2</v>
      </c>
      <c r="N172" s="247">
        <v>6.2E-2</v>
      </c>
      <c r="O172" s="247">
        <v>0.06</v>
      </c>
      <c r="P172" s="247">
        <v>0.06</v>
      </c>
      <c r="Q172" s="247">
        <v>0.06</v>
      </c>
      <c r="R172" s="152"/>
      <c r="AD172" s="58"/>
    </row>
    <row r="173" spans="1:30" outlineLevel="1" x14ac:dyDescent="0.3">
      <c r="A173" s="152"/>
      <c r="B173" s="152"/>
      <c r="C173" s="222"/>
      <c r="D173" s="152"/>
      <c r="E173" s="175"/>
      <c r="F173" s="4"/>
      <c r="G173" s="4"/>
      <c r="H173" s="11"/>
      <c r="I173" s="11"/>
      <c r="J173" s="79"/>
      <c r="K173" s="11"/>
      <c r="L173" s="81"/>
      <c r="M173" s="249"/>
      <c r="N173" s="249"/>
      <c r="O173" s="249"/>
      <c r="P173" s="249"/>
      <c r="Q173" s="249"/>
      <c r="R173" s="152"/>
      <c r="AD173" s="58"/>
    </row>
    <row r="174" spans="1:30" outlineLevel="1" x14ac:dyDescent="0.3">
      <c r="A174" s="152"/>
      <c r="B174" s="152"/>
      <c r="C174" s="221" t="s">
        <v>400</v>
      </c>
      <c r="D174" s="152"/>
      <c r="E174" s="176" t="s">
        <v>14</v>
      </c>
      <c r="F174" s="4"/>
      <c r="G174" s="17"/>
      <c r="H174" s="17"/>
      <c r="I174" s="17"/>
      <c r="J174" s="64"/>
      <c r="K174" s="17"/>
      <c r="L174" s="73"/>
      <c r="M174" s="398">
        <f t="shared" ref="M174:Q175" si="30">+M171*M264*(1+Expense_Toggle)</f>
        <v>91.665842675200992</v>
      </c>
      <c r="N174" s="398">
        <f t="shared" si="30"/>
        <v>93.162174436126179</v>
      </c>
      <c r="O174" s="398">
        <f t="shared" si="30"/>
        <v>94.640880648525027</v>
      </c>
      <c r="P174" s="398">
        <f t="shared" si="30"/>
        <v>96.101217473588562</v>
      </c>
      <c r="Q174" s="398">
        <f t="shared" si="30"/>
        <v>97.542421044296859</v>
      </c>
      <c r="R174" s="152"/>
      <c r="AD174" s="58"/>
    </row>
    <row r="175" spans="1:30" outlineLevel="1" x14ac:dyDescent="0.3">
      <c r="A175" s="152"/>
      <c r="B175" s="152"/>
      <c r="C175" s="221" t="s">
        <v>399</v>
      </c>
      <c r="D175" s="152"/>
      <c r="E175" s="176" t="s">
        <v>14</v>
      </c>
      <c r="F175" s="4"/>
      <c r="G175" s="17"/>
      <c r="H175" s="17"/>
      <c r="I175" s="17"/>
      <c r="J175" s="64"/>
      <c r="K175" s="17"/>
      <c r="L175" s="73"/>
      <c r="M175" s="398">
        <f t="shared" si="30"/>
        <v>29.565668478799108</v>
      </c>
      <c r="N175" s="398">
        <f t="shared" si="30"/>
        <v>29.703956218867049</v>
      </c>
      <c r="O175" s="398">
        <f t="shared" si="30"/>
        <v>29.799940135275474</v>
      </c>
      <c r="P175" s="398">
        <f t="shared" si="30"/>
        <v>30.880857319531732</v>
      </c>
      <c r="Q175" s="398">
        <f t="shared" si="30"/>
        <v>31.989039422853722</v>
      </c>
      <c r="R175" s="152"/>
      <c r="AD175" s="58"/>
    </row>
    <row r="176" spans="1:30" outlineLevel="1" x14ac:dyDescent="0.3">
      <c r="A176" s="152"/>
      <c r="B176" s="152"/>
      <c r="C176" s="222"/>
      <c r="D176" s="152"/>
      <c r="E176" s="175"/>
      <c r="F176" s="4"/>
      <c r="G176" s="4"/>
      <c r="H176" s="11"/>
      <c r="I176" s="11"/>
      <c r="J176" s="79"/>
      <c r="K176" s="11"/>
      <c r="L176" s="81"/>
      <c r="M176" s="249"/>
      <c r="N176" s="249"/>
      <c r="O176" s="249"/>
      <c r="P176" s="249"/>
      <c r="Q176" s="249"/>
      <c r="R176" s="152"/>
      <c r="AD176" s="58"/>
    </row>
    <row r="177" spans="1:30" outlineLevel="1" x14ac:dyDescent="0.3">
      <c r="A177" s="152"/>
      <c r="B177" s="152"/>
      <c r="C177" s="221" t="s">
        <v>263</v>
      </c>
      <c r="D177" s="152"/>
      <c r="E177" s="175" t="s">
        <v>16</v>
      </c>
      <c r="F177" s="27">
        <f>+F280/F137*Units</f>
        <v>438.53451676528601</v>
      </c>
      <c r="G177" s="27">
        <f>+G280/G137*Units</f>
        <v>439.04536489151872</v>
      </c>
      <c r="H177" s="27">
        <f>+H280/H137*Units</f>
        <v>435.0291828793774</v>
      </c>
      <c r="I177" s="27">
        <f>+I280/I137*Units</f>
        <v>439.02681992337165</v>
      </c>
      <c r="J177" s="80"/>
      <c r="K177" s="27"/>
      <c r="L177" s="82"/>
      <c r="M177" s="552">
        <f>AVERAGE(F177:I177)</f>
        <v>437.90897111488846</v>
      </c>
      <c r="N177" s="553">
        <f>+M177</f>
        <v>437.90897111488846</v>
      </c>
      <c r="O177" s="553">
        <f t="shared" ref="O177:Q177" si="31">+N177</f>
        <v>437.90897111488846</v>
      </c>
      <c r="P177" s="553">
        <f t="shared" si="31"/>
        <v>437.90897111488846</v>
      </c>
      <c r="Q177" s="553">
        <f t="shared" si="31"/>
        <v>437.90897111488846</v>
      </c>
      <c r="R177" s="152"/>
      <c r="AD177" s="58"/>
    </row>
    <row r="178" spans="1:30" outlineLevel="1" x14ac:dyDescent="0.3">
      <c r="A178" s="152"/>
      <c r="B178" s="152"/>
      <c r="C178" s="221" t="s">
        <v>264</v>
      </c>
      <c r="D178" s="152"/>
      <c r="E178" s="175" t="s">
        <v>16</v>
      </c>
      <c r="F178" s="27">
        <f>+F282/F137*Units</f>
        <v>252.61341222879679</v>
      </c>
      <c r="G178" s="27">
        <f>+G282/G137*Units</f>
        <v>250.19132149901381</v>
      </c>
      <c r="H178" s="27">
        <f>+H282/H137*Units</f>
        <v>246.79961089494165</v>
      </c>
      <c r="I178" s="27">
        <f>+I282/I137*Units</f>
        <v>251.02490421455937</v>
      </c>
      <c r="J178" s="80"/>
      <c r="K178" s="27"/>
      <c r="L178" s="82"/>
      <c r="M178" s="552">
        <f>AVERAGE(F178:I178)</f>
        <v>250.1573122093279</v>
      </c>
      <c r="N178" s="553">
        <f t="shared" ref="N178:Q178" si="32">+M178</f>
        <v>250.1573122093279</v>
      </c>
      <c r="O178" s="553">
        <f t="shared" si="32"/>
        <v>250.1573122093279</v>
      </c>
      <c r="P178" s="553">
        <f t="shared" si="32"/>
        <v>250.1573122093279</v>
      </c>
      <c r="Q178" s="553">
        <f t="shared" si="32"/>
        <v>250.1573122093279</v>
      </c>
      <c r="R178" s="152"/>
      <c r="AD178" s="58"/>
    </row>
    <row r="179" spans="1:30" outlineLevel="1" x14ac:dyDescent="0.3">
      <c r="A179" s="152"/>
      <c r="B179" s="152"/>
      <c r="C179" s="221" t="s">
        <v>265</v>
      </c>
      <c r="D179" s="152"/>
      <c r="E179" s="175" t="s">
        <v>16</v>
      </c>
      <c r="F179" s="27">
        <f>+F281/F137*Units</f>
        <v>138.90532544378698</v>
      </c>
      <c r="G179" s="27">
        <f>+G281/G137*Units</f>
        <v>147.91321499013807</v>
      </c>
      <c r="H179" s="27">
        <f>+H281/H137*Units</f>
        <v>146.52140077821011</v>
      </c>
      <c r="I179" s="27">
        <f>+I281/I137*Units</f>
        <v>150.31226053639847</v>
      </c>
      <c r="J179" s="80"/>
      <c r="K179" s="27"/>
      <c r="L179" s="82"/>
      <c r="M179" s="554">
        <v>151</v>
      </c>
      <c r="N179" s="555">
        <v>152</v>
      </c>
      <c r="O179" s="555">
        <v>152</v>
      </c>
      <c r="P179" s="555">
        <v>153</v>
      </c>
      <c r="Q179" s="555">
        <v>153</v>
      </c>
      <c r="R179" s="152"/>
      <c r="AD179" s="58"/>
    </row>
    <row r="180" spans="1:30" outlineLevel="1" x14ac:dyDescent="0.3">
      <c r="A180" s="152"/>
      <c r="B180" s="152"/>
      <c r="C180" s="222"/>
      <c r="D180" s="152"/>
      <c r="E180" s="175"/>
      <c r="F180" s="4"/>
      <c r="G180" s="17"/>
      <c r="H180" s="17"/>
      <c r="I180" s="17"/>
      <c r="J180" s="64"/>
      <c r="K180" s="17"/>
      <c r="L180" s="73"/>
      <c r="M180" s="268"/>
      <c r="N180" s="268"/>
      <c r="O180" s="268"/>
      <c r="P180" s="268"/>
      <c r="Q180" s="268"/>
      <c r="R180" s="152"/>
      <c r="AD180" s="58"/>
    </row>
    <row r="181" spans="1:30" outlineLevel="1" x14ac:dyDescent="0.3">
      <c r="A181" s="152"/>
      <c r="B181" s="152"/>
      <c r="C181" s="221" t="s">
        <v>321</v>
      </c>
      <c r="D181" s="152"/>
      <c r="E181" s="175" t="s">
        <v>16</v>
      </c>
      <c r="F181" s="4"/>
      <c r="G181" s="17"/>
      <c r="H181" s="17"/>
      <c r="I181" s="17"/>
      <c r="J181" s="64"/>
      <c r="K181" s="17"/>
      <c r="L181" s="73"/>
      <c r="M181" s="556">
        <f t="shared" ref="M181:Q183" si="33">+M177*(1+Expense_Toggle)</f>
        <v>437.90897111488846</v>
      </c>
      <c r="N181" s="556">
        <f t="shared" si="33"/>
        <v>437.90897111488846</v>
      </c>
      <c r="O181" s="556">
        <f t="shared" si="33"/>
        <v>437.90897111488846</v>
      </c>
      <c r="P181" s="556">
        <f t="shared" si="33"/>
        <v>437.90897111488846</v>
      </c>
      <c r="Q181" s="556">
        <f t="shared" si="33"/>
        <v>437.90897111488846</v>
      </c>
      <c r="R181" s="152"/>
      <c r="AD181" s="58"/>
    </row>
    <row r="182" spans="1:30" outlineLevel="1" x14ac:dyDescent="0.3">
      <c r="A182" s="152"/>
      <c r="B182" s="152"/>
      <c r="C182" s="221" t="s">
        <v>322</v>
      </c>
      <c r="D182" s="152"/>
      <c r="E182" s="175" t="s">
        <v>16</v>
      </c>
      <c r="F182" s="4"/>
      <c r="G182" s="17"/>
      <c r="H182" s="17"/>
      <c r="I182" s="17"/>
      <c r="J182" s="64"/>
      <c r="K182" s="17"/>
      <c r="L182" s="73"/>
      <c r="M182" s="556">
        <f t="shared" si="33"/>
        <v>250.1573122093279</v>
      </c>
      <c r="N182" s="556">
        <f t="shared" si="33"/>
        <v>250.1573122093279</v>
      </c>
      <c r="O182" s="556">
        <f t="shared" si="33"/>
        <v>250.1573122093279</v>
      </c>
      <c r="P182" s="556">
        <f t="shared" si="33"/>
        <v>250.1573122093279</v>
      </c>
      <c r="Q182" s="556">
        <f t="shared" si="33"/>
        <v>250.1573122093279</v>
      </c>
      <c r="R182" s="152"/>
      <c r="AD182" s="58"/>
    </row>
    <row r="183" spans="1:30" outlineLevel="1" x14ac:dyDescent="0.3">
      <c r="A183" s="152"/>
      <c r="B183" s="152"/>
      <c r="C183" s="221" t="s">
        <v>323</v>
      </c>
      <c r="D183" s="152"/>
      <c r="E183" s="175" t="s">
        <v>16</v>
      </c>
      <c r="F183" s="4"/>
      <c r="G183" s="17"/>
      <c r="H183" s="17"/>
      <c r="I183" s="17"/>
      <c r="J183" s="64"/>
      <c r="K183" s="17"/>
      <c r="L183" s="73"/>
      <c r="M183" s="556">
        <f t="shared" si="33"/>
        <v>151</v>
      </c>
      <c r="N183" s="556">
        <f t="shared" si="33"/>
        <v>152</v>
      </c>
      <c r="O183" s="556">
        <f t="shared" si="33"/>
        <v>152</v>
      </c>
      <c r="P183" s="556">
        <f t="shared" si="33"/>
        <v>153</v>
      </c>
      <c r="Q183" s="556">
        <f t="shared" si="33"/>
        <v>153</v>
      </c>
      <c r="R183" s="152"/>
      <c r="AD183" s="58"/>
    </row>
    <row r="184" spans="1:30" outlineLevel="1" x14ac:dyDescent="0.3">
      <c r="A184" s="152"/>
      <c r="B184" s="152"/>
      <c r="C184" s="240"/>
      <c r="D184" s="152"/>
      <c r="E184" s="175"/>
      <c r="F184" s="4"/>
      <c r="G184" s="4"/>
      <c r="H184" s="223"/>
      <c r="I184" s="223"/>
      <c r="J184" s="264"/>
      <c r="K184" s="223"/>
      <c r="L184" s="265"/>
      <c r="M184" s="223"/>
      <c r="N184" s="223"/>
      <c r="O184" s="223"/>
      <c r="P184" s="223"/>
      <c r="Q184" s="223"/>
      <c r="R184" s="152"/>
      <c r="AD184" s="58"/>
    </row>
    <row r="185" spans="1:30" outlineLevel="1" x14ac:dyDescent="0.3">
      <c r="A185" s="152"/>
      <c r="B185" s="152"/>
      <c r="C185" s="221" t="s">
        <v>324</v>
      </c>
      <c r="D185" s="152"/>
      <c r="E185" s="175" t="s">
        <v>28</v>
      </c>
      <c r="F185" s="271">
        <f t="shared" ref="F185:I186" si="34">+F289/F$267</f>
        <v>4.3171717764986878E-2</v>
      </c>
      <c r="G185" s="271">
        <f>+G289/G$267</f>
        <v>4.2608301732389317E-2</v>
      </c>
      <c r="H185" s="271">
        <f t="shared" si="34"/>
        <v>4.4067058296410618E-2</v>
      </c>
      <c r="I185" s="271">
        <f t="shared" si="34"/>
        <v>5.0159360658909774E-2</v>
      </c>
      <c r="J185" s="272"/>
      <c r="K185" s="271"/>
      <c r="L185" s="273"/>
      <c r="M185" s="252">
        <v>0.05</v>
      </c>
      <c r="N185" s="247">
        <v>5.0999999999999997E-2</v>
      </c>
      <c r="O185" s="247">
        <v>5.2999999999999999E-2</v>
      </c>
      <c r="P185" s="247">
        <v>5.5E-2</v>
      </c>
      <c r="Q185" s="247">
        <v>5.5E-2</v>
      </c>
      <c r="R185" s="152"/>
      <c r="AD185" s="58"/>
    </row>
    <row r="186" spans="1:30" outlineLevel="1" x14ac:dyDescent="0.3">
      <c r="A186" s="152"/>
      <c r="B186" s="152"/>
      <c r="C186" s="221" t="s">
        <v>325</v>
      </c>
      <c r="D186" s="152"/>
      <c r="E186" s="175" t="s">
        <v>28</v>
      </c>
      <c r="F186" s="271">
        <f t="shared" si="34"/>
        <v>6.2028906770037973E-2</v>
      </c>
      <c r="G186" s="271">
        <f t="shared" si="34"/>
        <v>6.3151959745633715E-2</v>
      </c>
      <c r="H186" s="271">
        <f t="shared" si="34"/>
        <v>6.6506944790162795E-2</v>
      </c>
      <c r="I186" s="271">
        <f t="shared" si="34"/>
        <v>6.9375128541195846E-2</v>
      </c>
      <c r="J186" s="272"/>
      <c r="K186" s="271"/>
      <c r="L186" s="273"/>
      <c r="M186" s="274">
        <v>6.9000000000000006E-2</v>
      </c>
      <c r="N186" s="275">
        <v>7.0999999999999994E-2</v>
      </c>
      <c r="O186" s="275">
        <v>7.0999999999999994E-2</v>
      </c>
      <c r="P186" s="275">
        <v>7.0999999999999994E-2</v>
      </c>
      <c r="Q186" s="275">
        <v>7.0999999999999994E-2</v>
      </c>
      <c r="R186" s="152"/>
      <c r="AD186" s="58"/>
    </row>
    <row r="187" spans="1:30" outlineLevel="1" x14ac:dyDescent="0.3">
      <c r="A187" s="152"/>
      <c r="B187" s="152"/>
      <c r="C187" s="240"/>
      <c r="D187" s="152"/>
      <c r="E187" s="4"/>
      <c r="F187" s="4"/>
      <c r="G187" s="4"/>
      <c r="H187" s="223"/>
      <c r="I187" s="223"/>
      <c r="J187" s="264"/>
      <c r="K187" s="223"/>
      <c r="L187" s="265"/>
      <c r="M187" s="544"/>
      <c r="N187" s="223"/>
      <c r="O187" s="223"/>
      <c r="P187" s="223"/>
      <c r="Q187" s="223"/>
      <c r="R187" s="152"/>
      <c r="AD187" s="58"/>
    </row>
    <row r="188" spans="1:30" outlineLevel="1" x14ac:dyDescent="0.3">
      <c r="A188" s="152"/>
      <c r="B188" s="152"/>
      <c r="C188" s="221" t="s">
        <v>35</v>
      </c>
      <c r="D188" s="152"/>
      <c r="E188" s="176" t="s">
        <v>14</v>
      </c>
      <c r="F188" s="298">
        <f>+F291</f>
        <v>0.93600000000000005</v>
      </c>
      <c r="G188" s="298">
        <f t="shared" ref="G188:I188" si="35">+G291</f>
        <v>2.7389999999999999</v>
      </c>
      <c r="H188" s="278">
        <f t="shared" si="35"/>
        <v>6.7519999999999998</v>
      </c>
      <c r="I188" s="278">
        <f t="shared" si="35"/>
        <v>3.0510000000000002</v>
      </c>
      <c r="J188" s="264"/>
      <c r="K188" s="223"/>
      <c r="L188" s="265"/>
      <c r="M188" s="428">
        <v>0</v>
      </c>
      <c r="N188" s="289">
        <f>+M188</f>
        <v>0</v>
      </c>
      <c r="O188" s="289">
        <f t="shared" ref="O188:Q188" si="36">+N188</f>
        <v>0</v>
      </c>
      <c r="P188" s="289">
        <f t="shared" si="36"/>
        <v>0</v>
      </c>
      <c r="Q188" s="289">
        <f t="shared" si="36"/>
        <v>0</v>
      </c>
      <c r="R188" s="152"/>
      <c r="AD188" s="58"/>
    </row>
    <row r="189" spans="1:30" outlineLevel="1" x14ac:dyDescent="0.3">
      <c r="A189" s="152"/>
      <c r="B189" s="152"/>
      <c r="C189" s="221" t="s">
        <v>326</v>
      </c>
      <c r="D189" s="152"/>
      <c r="E189" s="176" t="s">
        <v>14</v>
      </c>
      <c r="F189" s="298">
        <f t="shared" ref="F189:I189" si="37">+F292</f>
        <v>0</v>
      </c>
      <c r="G189" s="298">
        <f t="shared" si="37"/>
        <v>0</v>
      </c>
      <c r="H189" s="278">
        <f t="shared" si="37"/>
        <v>0</v>
      </c>
      <c r="I189" s="278">
        <f t="shared" si="37"/>
        <v>0</v>
      </c>
      <c r="J189" s="264"/>
      <c r="K189" s="223"/>
      <c r="L189" s="265"/>
      <c r="M189" s="428">
        <v>0</v>
      </c>
      <c r="N189" s="289">
        <f t="shared" ref="N189:Q189" si="38">+M189</f>
        <v>0</v>
      </c>
      <c r="O189" s="289">
        <f t="shared" si="38"/>
        <v>0</v>
      </c>
      <c r="P189" s="289">
        <f t="shared" si="38"/>
        <v>0</v>
      </c>
      <c r="Q189" s="289">
        <f t="shared" si="38"/>
        <v>0</v>
      </c>
      <c r="R189" s="152"/>
      <c r="AD189" s="58"/>
    </row>
    <row r="190" spans="1:30" x14ac:dyDescent="0.3">
      <c r="A190" s="152"/>
      <c r="B190" s="152"/>
      <c r="C190" s="240"/>
      <c r="D190" s="152"/>
      <c r="E190" s="4"/>
      <c r="F190" s="4"/>
      <c r="G190" s="4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152"/>
      <c r="S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</row>
    <row r="191" spans="1:30" x14ac:dyDescent="0.3">
      <c r="A191" s="152"/>
      <c r="B191" s="171"/>
      <c r="C191" s="172"/>
      <c r="D191" s="172"/>
      <c r="E191" s="169"/>
      <c r="F191" s="157" t="str">
        <f>$F$131</f>
        <v>Historical</v>
      </c>
      <c r="G191" s="158"/>
      <c r="H191" s="159"/>
      <c r="I191" s="159"/>
      <c r="J191" s="165" t="str">
        <f>$J$131</f>
        <v>Transaction Adjustments</v>
      </c>
      <c r="K191" s="166"/>
      <c r="L191" s="167"/>
      <c r="M191" s="157" t="str">
        <f>$M$131</f>
        <v>Projected</v>
      </c>
      <c r="N191" s="158"/>
      <c r="O191" s="158"/>
      <c r="P191" s="158"/>
      <c r="Q191" s="159"/>
      <c r="R191" s="152"/>
      <c r="AD191" s="58"/>
    </row>
    <row r="192" spans="1:30" x14ac:dyDescent="0.3">
      <c r="A192" s="152"/>
      <c r="B192" s="173" t="s">
        <v>86</v>
      </c>
      <c r="C192" s="173"/>
      <c r="D192" s="173"/>
      <c r="E192" s="170" t="str">
        <f>$E$132</f>
        <v>Units</v>
      </c>
      <c r="F192" s="160">
        <f>$F$132</f>
        <v>40543</v>
      </c>
      <c r="G192" s="161">
        <f>$G$132</f>
        <v>40908</v>
      </c>
      <c r="H192" s="161">
        <f>$H$132</f>
        <v>41274</v>
      </c>
      <c r="I192" s="162">
        <f>$I$132</f>
        <v>41639</v>
      </c>
      <c r="J192" s="164" t="str">
        <f>$J$132</f>
        <v xml:space="preserve">Debit </v>
      </c>
      <c r="K192" s="164" t="str">
        <f>$K$132</f>
        <v>Credit</v>
      </c>
      <c r="L192" s="168">
        <f>$L$132</f>
        <v>41639</v>
      </c>
      <c r="M192" s="160">
        <f>$M$132</f>
        <v>42004</v>
      </c>
      <c r="N192" s="161">
        <f>$N$132</f>
        <v>42369</v>
      </c>
      <c r="O192" s="161">
        <f>$O$132</f>
        <v>42735</v>
      </c>
      <c r="P192" s="160">
        <f>$P$132</f>
        <v>43100</v>
      </c>
      <c r="Q192" s="163">
        <f>$Q$132</f>
        <v>43465</v>
      </c>
      <c r="R192" s="152"/>
    </row>
    <row r="193" spans="1:18" outlineLevel="1" x14ac:dyDescent="0.3">
      <c r="A193" s="152"/>
      <c r="B193" s="152"/>
      <c r="C193" s="240"/>
      <c r="D193" s="152"/>
      <c r="E193" s="4"/>
      <c r="F193" s="4"/>
      <c r="G193" s="4"/>
      <c r="H193" s="223"/>
      <c r="I193" s="223"/>
      <c r="J193" s="276"/>
      <c r="K193" s="223"/>
      <c r="L193" s="277"/>
      <c r="M193" s="223"/>
      <c r="N193" s="223"/>
      <c r="O193" s="223"/>
      <c r="P193" s="223"/>
      <c r="Q193" s="223"/>
      <c r="R193" s="152"/>
    </row>
    <row r="194" spans="1:18" outlineLevel="1" x14ac:dyDescent="0.3">
      <c r="A194" s="152"/>
      <c r="B194" s="152"/>
      <c r="C194" s="240" t="s">
        <v>83</v>
      </c>
      <c r="D194" s="152"/>
      <c r="E194" s="174" t="s">
        <v>84</v>
      </c>
      <c r="F194" s="156">
        <f>(110.817*40+624.353*10+284.454*8+230.986*12+28.228*10)/(1322.261-43.423)</f>
        <v>12.516013756238085</v>
      </c>
      <c r="G194" s="4"/>
      <c r="H194" s="223"/>
      <c r="I194" s="223"/>
      <c r="J194" s="264"/>
      <c r="K194" s="223"/>
      <c r="L194" s="265"/>
      <c r="M194" s="223"/>
      <c r="N194" s="223"/>
      <c r="O194" s="223"/>
      <c r="P194" s="223"/>
      <c r="Q194" s="223"/>
      <c r="R194" s="152"/>
    </row>
    <row r="195" spans="1:18" outlineLevel="1" x14ac:dyDescent="0.3">
      <c r="A195" s="152"/>
      <c r="B195" s="152"/>
      <c r="C195" s="240"/>
      <c r="D195" s="152"/>
      <c r="E195" s="175"/>
      <c r="F195" s="4"/>
      <c r="G195" s="4"/>
      <c r="H195" s="223"/>
      <c r="I195" s="223"/>
      <c r="J195" s="264"/>
      <c r="K195" s="223"/>
      <c r="L195" s="265"/>
      <c r="M195" s="223"/>
      <c r="N195" s="223"/>
      <c r="O195" s="223"/>
      <c r="P195" s="223"/>
      <c r="Q195" s="223"/>
      <c r="R195" s="152"/>
    </row>
    <row r="196" spans="1:18" outlineLevel="1" x14ac:dyDescent="0.3">
      <c r="A196" s="152"/>
      <c r="B196" s="152"/>
      <c r="C196" s="240" t="s">
        <v>74</v>
      </c>
      <c r="D196" s="152"/>
      <c r="E196" s="176" t="s">
        <v>14</v>
      </c>
      <c r="F196" s="28">
        <v>65</v>
      </c>
      <c r="G196" s="28">
        <v>67.8</v>
      </c>
      <c r="H196" s="28">
        <v>43.1</v>
      </c>
      <c r="I196" s="28">
        <v>19</v>
      </c>
      <c r="J196" s="83"/>
      <c r="K196" s="28"/>
      <c r="L196" s="86"/>
      <c r="M196" s="41">
        <f>+M204*M201</f>
        <v>29</v>
      </c>
      <c r="N196" s="41">
        <f t="shared" ref="N196:Q196" si="39">+N204*N201</f>
        <v>23.892106768218728</v>
      </c>
      <c r="O196" s="41">
        <f t="shared" si="39"/>
        <v>28.398074272751213</v>
      </c>
      <c r="P196" s="41">
        <f t="shared" si="39"/>
        <v>33.053741694377791</v>
      </c>
      <c r="Q196" s="41">
        <f t="shared" si="39"/>
        <v>37.859109033098477</v>
      </c>
      <c r="R196" s="152"/>
    </row>
    <row r="197" spans="1:18" outlineLevel="1" x14ac:dyDescent="0.3">
      <c r="A197" s="152"/>
      <c r="B197" s="152"/>
      <c r="C197" s="240" t="s">
        <v>75</v>
      </c>
      <c r="D197" s="152"/>
      <c r="E197" s="176" t="s">
        <v>14</v>
      </c>
      <c r="F197" s="29">
        <v>20</v>
      </c>
      <c r="G197" s="29">
        <v>10.3</v>
      </c>
      <c r="H197" s="29">
        <v>37.4</v>
      </c>
      <c r="I197" s="29">
        <v>32</v>
      </c>
      <c r="J197" s="84"/>
      <c r="K197" s="29"/>
      <c r="L197" s="87"/>
      <c r="M197" s="33">
        <f>+M205*M141</f>
        <v>37.050000000000004</v>
      </c>
      <c r="N197" s="33">
        <f>+N205*N135</f>
        <v>40.799999999999997</v>
      </c>
      <c r="O197" s="33">
        <f>+O205*O135</f>
        <v>42.4</v>
      </c>
      <c r="P197" s="33">
        <f>+P205*P135</f>
        <v>46.75</v>
      </c>
      <c r="Q197" s="33">
        <f>+Q205*Q135</f>
        <v>48.45</v>
      </c>
      <c r="R197" s="152"/>
    </row>
    <row r="198" spans="1:18" outlineLevel="1" x14ac:dyDescent="0.3">
      <c r="A198" s="152"/>
      <c r="B198" s="152"/>
      <c r="C198" s="243" t="s">
        <v>286</v>
      </c>
      <c r="D198" s="244"/>
      <c r="E198" s="359" t="s">
        <v>14</v>
      </c>
      <c r="F198" s="29">
        <v>14.8</v>
      </c>
      <c r="G198" s="29">
        <v>16.600000000000001</v>
      </c>
      <c r="H198" s="29">
        <v>22</v>
      </c>
      <c r="I198" s="29">
        <v>23</v>
      </c>
      <c r="J198" s="84"/>
      <c r="K198" s="29"/>
      <c r="L198" s="87"/>
      <c r="M198" s="33">
        <f>+M207*M267</f>
        <v>23.650613380862929</v>
      </c>
      <c r="N198" s="33">
        <f t="shared" ref="N198:Q198" si="40">+N207*N267</f>
        <v>26.906981917898246</v>
      </c>
      <c r="O198" s="33">
        <f t="shared" si="40"/>
        <v>30.315555327362087</v>
      </c>
      <c r="P198" s="33">
        <f t="shared" si="40"/>
        <v>33.879817525742595</v>
      </c>
      <c r="Q198" s="33">
        <f t="shared" si="40"/>
        <v>37.603321196320138</v>
      </c>
      <c r="R198" s="152"/>
    </row>
    <row r="199" spans="1:18" outlineLevel="1" x14ac:dyDescent="0.3">
      <c r="A199" s="152"/>
      <c r="B199" s="152"/>
      <c r="C199" s="59" t="s">
        <v>76</v>
      </c>
      <c r="D199" s="152"/>
      <c r="E199" s="175" t="s">
        <v>14</v>
      </c>
      <c r="F199" s="30">
        <f>SUM(F196:F198)</f>
        <v>99.8</v>
      </c>
      <c r="G199" s="30">
        <f>SUM(G196:G198)</f>
        <v>94.699999999999989</v>
      </c>
      <c r="H199" s="30">
        <f>SUM(H196:H198)</f>
        <v>102.5</v>
      </c>
      <c r="I199" s="31">
        <f>SUM(I196:I198)</f>
        <v>74</v>
      </c>
      <c r="J199" s="85"/>
      <c r="K199" s="31"/>
      <c r="L199" s="88"/>
      <c r="M199" s="36">
        <f>SUM(M196:M198)</f>
        <v>89.700613380862933</v>
      </c>
      <c r="N199" s="36">
        <f t="shared" ref="N199:Q199" si="41">SUM(N196:N198)</f>
        <v>91.599088686116971</v>
      </c>
      <c r="O199" s="36">
        <f t="shared" si="41"/>
        <v>101.1136296001133</v>
      </c>
      <c r="P199" s="36">
        <f t="shared" si="41"/>
        <v>113.68355922012039</v>
      </c>
      <c r="Q199" s="36">
        <f t="shared" si="41"/>
        <v>123.91243022941862</v>
      </c>
      <c r="R199" s="152"/>
    </row>
    <row r="200" spans="1:18" outlineLevel="1" x14ac:dyDescent="0.3">
      <c r="A200" s="152"/>
      <c r="B200" s="152"/>
      <c r="C200" s="240"/>
      <c r="D200" s="152"/>
      <c r="E200" s="175"/>
      <c r="F200" s="4"/>
      <c r="G200" s="4"/>
      <c r="H200" s="223"/>
      <c r="I200" s="223"/>
      <c r="J200" s="264"/>
      <c r="K200" s="223"/>
      <c r="L200" s="265"/>
      <c r="M200" s="278"/>
      <c r="N200" s="223"/>
      <c r="O200" s="223"/>
      <c r="P200" s="223"/>
      <c r="Q200" s="223"/>
      <c r="R200" s="152"/>
    </row>
    <row r="201" spans="1:18" outlineLevel="1" x14ac:dyDescent="0.3">
      <c r="A201" s="152"/>
      <c r="B201" s="152"/>
      <c r="C201" s="221" t="s">
        <v>301</v>
      </c>
      <c r="D201" s="152"/>
      <c r="E201" s="175" t="s">
        <v>24</v>
      </c>
      <c r="F201" s="13">
        <v>223</v>
      </c>
      <c r="G201" s="13">
        <v>181</v>
      </c>
      <c r="H201" s="13">
        <v>125</v>
      </c>
      <c r="I201" s="13">
        <v>162</v>
      </c>
      <c r="J201" s="61"/>
      <c r="K201" s="13"/>
      <c r="L201" s="70"/>
      <c r="M201" s="13">
        <v>263</v>
      </c>
      <c r="N201" s="255">
        <f>+N202*N140</f>
        <v>199.10088973515607</v>
      </c>
      <c r="O201" s="255">
        <f>+O202*O134</f>
        <v>202.84338766250863</v>
      </c>
      <c r="P201" s="255">
        <f>+P202*P134</f>
        <v>206.58588558986119</v>
      </c>
      <c r="Q201" s="255">
        <f>+Q202*Q134</f>
        <v>210.32838351721375</v>
      </c>
      <c r="R201" s="152"/>
    </row>
    <row r="202" spans="1:18" outlineLevel="1" x14ac:dyDescent="0.3">
      <c r="A202" s="152"/>
      <c r="B202" s="152"/>
      <c r="C202" s="221" t="s">
        <v>81</v>
      </c>
      <c r="D202" s="152"/>
      <c r="E202" s="175" t="s">
        <v>28</v>
      </c>
      <c r="F202" s="271">
        <f>+F201/F134</f>
        <v>0.44869215291750503</v>
      </c>
      <c r="G202" s="271">
        <f>+G201/G134</f>
        <v>0.35700197238658776</v>
      </c>
      <c r="H202" s="271">
        <f>+H201/H134</f>
        <v>0.2465483234714004</v>
      </c>
      <c r="I202" s="271">
        <f>+I201/I134</f>
        <v>0.31517509727626458</v>
      </c>
      <c r="J202" s="272"/>
      <c r="K202" s="271"/>
      <c r="L202" s="273"/>
      <c r="M202" s="271">
        <f>+M201/M140</f>
        <v>0.50383141762452111</v>
      </c>
      <c r="N202" s="267">
        <f>AVERAGE(F202:I202,M202)</f>
        <v>0.37424979273525577</v>
      </c>
      <c r="O202" s="267">
        <f>+N202</f>
        <v>0.37424979273525577</v>
      </c>
      <c r="P202" s="267">
        <f t="shared" ref="P202:Q202" si="42">+O202</f>
        <v>0.37424979273525577</v>
      </c>
      <c r="Q202" s="267">
        <f t="shared" si="42"/>
        <v>0.37424979273525577</v>
      </c>
      <c r="R202" s="152"/>
    </row>
    <row r="203" spans="1:18" outlineLevel="1" x14ac:dyDescent="0.3">
      <c r="A203" s="152"/>
      <c r="B203" s="152"/>
      <c r="C203" s="221"/>
      <c r="D203" s="152"/>
      <c r="E203" s="175"/>
      <c r="F203" s="271"/>
      <c r="G203" s="271"/>
      <c r="H203" s="271"/>
      <c r="I203" s="271"/>
      <c r="J203" s="272"/>
      <c r="K203" s="271"/>
      <c r="L203" s="273"/>
      <c r="M203" s="271"/>
      <c r="N203" s="152"/>
      <c r="O203" s="152"/>
      <c r="P203" s="152"/>
      <c r="Q203" s="152"/>
      <c r="R203" s="152"/>
    </row>
    <row r="204" spans="1:18" outlineLevel="1" x14ac:dyDescent="0.3">
      <c r="A204" s="152"/>
      <c r="B204" s="152"/>
      <c r="C204" s="221" t="s">
        <v>79</v>
      </c>
      <c r="D204" s="152"/>
      <c r="E204" s="176" t="s">
        <v>14</v>
      </c>
      <c r="F204" s="279">
        <f t="shared" ref="F204" si="43">+F196/F201</f>
        <v>0.2914798206278027</v>
      </c>
      <c r="G204" s="279">
        <f t="shared" ref="G204:H204" si="44">+G196/G201</f>
        <v>0.37458563535911599</v>
      </c>
      <c r="H204" s="279">
        <f t="shared" si="44"/>
        <v>0.3448</v>
      </c>
      <c r="I204" s="279">
        <f>+I196/I201</f>
        <v>0.11728395061728394</v>
      </c>
      <c r="J204" s="280"/>
      <c r="K204" s="279"/>
      <c r="L204" s="281"/>
      <c r="M204" s="282">
        <v>0.11026615969581749</v>
      </c>
      <c r="N204" s="283">
        <v>0.12</v>
      </c>
      <c r="O204" s="283">
        <v>0.14000000000000001</v>
      </c>
      <c r="P204" s="283">
        <v>0.16</v>
      </c>
      <c r="Q204" s="283">
        <v>0.18</v>
      </c>
      <c r="R204" s="152"/>
    </row>
    <row r="205" spans="1:18" outlineLevel="1" x14ac:dyDescent="0.3">
      <c r="A205" s="152"/>
      <c r="B205" s="152"/>
      <c r="C205" s="221" t="s">
        <v>80</v>
      </c>
      <c r="D205" s="152"/>
      <c r="E205" s="176" t="s">
        <v>14</v>
      </c>
      <c r="F205" s="279">
        <f>+F197/F135</f>
        <v>1.6666666666666667</v>
      </c>
      <c r="G205" s="279">
        <f>+G197/G135</f>
        <v>2.5750000000000002</v>
      </c>
      <c r="H205" s="279">
        <f>+H197/H135</f>
        <v>2.8769230769230769</v>
      </c>
      <c r="I205" s="279">
        <f>+I197/I135</f>
        <v>2.4615384615384617</v>
      </c>
      <c r="J205" s="280"/>
      <c r="K205" s="279"/>
      <c r="L205" s="281"/>
      <c r="M205" s="282">
        <v>2.4700000000000002</v>
      </c>
      <c r="N205" s="283">
        <v>2.5499999999999998</v>
      </c>
      <c r="O205" s="283">
        <v>2.65</v>
      </c>
      <c r="P205" s="283">
        <v>2.75</v>
      </c>
      <c r="Q205" s="283">
        <v>2.85</v>
      </c>
      <c r="R205" s="152"/>
    </row>
    <row r="206" spans="1:18" outlineLevel="1" x14ac:dyDescent="0.3">
      <c r="A206" s="152"/>
      <c r="B206" s="152"/>
      <c r="C206" s="240"/>
      <c r="D206" s="152"/>
      <c r="E206" s="175"/>
      <c r="F206" s="4"/>
      <c r="G206" s="4"/>
      <c r="H206" s="223"/>
      <c r="I206" s="223"/>
      <c r="J206" s="264"/>
      <c r="K206" s="223"/>
      <c r="L206" s="265"/>
      <c r="M206" s="223"/>
      <c r="N206" s="223"/>
      <c r="O206" s="223"/>
      <c r="P206" s="223"/>
      <c r="Q206" s="223"/>
      <c r="R206" s="152"/>
    </row>
    <row r="207" spans="1:18" outlineLevel="1" x14ac:dyDescent="0.3">
      <c r="A207" s="152"/>
      <c r="B207" s="152"/>
      <c r="C207" s="221" t="s">
        <v>82</v>
      </c>
      <c r="D207" s="152"/>
      <c r="E207" s="175" t="s">
        <v>28</v>
      </c>
      <c r="F207" s="271">
        <f>+F198/F267</f>
        <v>1.8109557931007478E-2</v>
      </c>
      <c r="G207" s="271">
        <f>+G198/G267</f>
        <v>2.0214862064010485E-2</v>
      </c>
      <c r="H207" s="271">
        <f>+H198/H267</f>
        <v>2.738089311494997E-2</v>
      </c>
      <c r="I207" s="271">
        <f>+I198/I267</f>
        <v>2.7990035547345145E-2</v>
      </c>
      <c r="J207" s="272"/>
      <c r="K207" s="271"/>
      <c r="L207" s="273"/>
      <c r="M207" s="252">
        <v>2.8000000000000001E-2</v>
      </c>
      <c r="N207" s="247">
        <v>3.1E-2</v>
      </c>
      <c r="O207" s="247">
        <v>3.4000000000000002E-2</v>
      </c>
      <c r="P207" s="247">
        <v>3.6999999999999998E-2</v>
      </c>
      <c r="Q207" s="247">
        <v>0.04</v>
      </c>
      <c r="R207" s="152"/>
    </row>
    <row r="208" spans="1:18" outlineLevel="1" x14ac:dyDescent="0.3">
      <c r="A208" s="152"/>
      <c r="B208" s="152"/>
      <c r="C208" s="240"/>
      <c r="D208" s="152"/>
      <c r="E208" s="175"/>
      <c r="F208" s="4"/>
      <c r="G208" s="4"/>
      <c r="H208" s="223"/>
      <c r="I208" s="223"/>
      <c r="J208" s="264"/>
      <c r="K208" s="223"/>
      <c r="L208" s="265"/>
      <c r="M208" s="223"/>
      <c r="N208" s="223"/>
      <c r="O208" s="223"/>
      <c r="P208" s="223"/>
      <c r="Q208" s="223"/>
      <c r="R208" s="152"/>
    </row>
    <row r="209" spans="1:29" outlineLevel="1" x14ac:dyDescent="0.3">
      <c r="A209" s="152"/>
      <c r="B209" s="152"/>
      <c r="C209" s="221" t="s">
        <v>285</v>
      </c>
      <c r="D209" s="152"/>
      <c r="E209" s="176" t="s">
        <v>14</v>
      </c>
      <c r="F209" s="4"/>
      <c r="G209" s="4"/>
      <c r="H209" s="223"/>
      <c r="I209" s="223"/>
      <c r="J209" s="264"/>
      <c r="K209" s="223"/>
      <c r="L209" s="265"/>
      <c r="M209" s="41">
        <f>+M199*(1+CapEx_Toggle)</f>
        <v>89.700613380862933</v>
      </c>
      <c r="N209" s="41">
        <f>+N199*(1+CapEx_Toggle)</f>
        <v>91.599088686116971</v>
      </c>
      <c r="O209" s="41">
        <f>+O199*(1+CapEx_Toggle)</f>
        <v>101.1136296001133</v>
      </c>
      <c r="P209" s="41">
        <f>+P199*(1+CapEx_Toggle)</f>
        <v>113.68355922012039</v>
      </c>
      <c r="Q209" s="41">
        <f>+Q199*(1+CapEx_Toggle)</f>
        <v>123.91243022941862</v>
      </c>
      <c r="R209" s="152"/>
    </row>
    <row r="210" spans="1:29" outlineLevel="1" x14ac:dyDescent="0.3">
      <c r="A210" s="152"/>
      <c r="B210" s="152"/>
      <c r="C210" s="12" t="s">
        <v>89</v>
      </c>
      <c r="D210" s="152"/>
      <c r="E210" s="175" t="s">
        <v>28</v>
      </c>
      <c r="F210" s="26">
        <f>+F199/F267</f>
        <v>0.12211715415638826</v>
      </c>
      <c r="G210" s="26">
        <f>+G199/G267</f>
        <v>0.11532213478685496</v>
      </c>
      <c r="H210" s="26">
        <f>+H199/H267</f>
        <v>0.12757007019465327</v>
      </c>
      <c r="I210" s="26">
        <f>+I199/I267</f>
        <v>9.0054896978414817E-2</v>
      </c>
      <c r="J210" s="264"/>
      <c r="K210" s="223"/>
      <c r="L210" s="265"/>
      <c r="M210" s="17">
        <f>+M209/M267</f>
        <v>0.10619670340966532</v>
      </c>
      <c r="N210" s="17">
        <f t="shared" ref="N210:Q210" si="45">+N209/N267</f>
        <v>0.10553289692370783</v>
      </c>
      <c r="O210" s="17">
        <f t="shared" si="45"/>
        <v>0.11340262018228378</v>
      </c>
      <c r="P210" s="17">
        <f t="shared" si="45"/>
        <v>0.12415331599553112</v>
      </c>
      <c r="Q210" s="17">
        <f t="shared" si="45"/>
        <v>0.13181009154217441</v>
      </c>
      <c r="R210" s="152"/>
    </row>
    <row r="211" spans="1:29" outlineLevel="1" x14ac:dyDescent="0.3">
      <c r="A211" s="152"/>
      <c r="B211" s="152"/>
      <c r="C211" s="240"/>
      <c r="D211" s="152"/>
      <c r="E211" s="175"/>
      <c r="F211" s="4"/>
      <c r="G211" s="4"/>
      <c r="H211" s="223"/>
      <c r="I211" s="223"/>
      <c r="J211" s="264"/>
      <c r="K211" s="223"/>
      <c r="L211" s="265"/>
      <c r="M211" s="41"/>
      <c r="N211" s="41"/>
      <c r="O211" s="41"/>
      <c r="P211" s="41"/>
      <c r="Q211" s="41"/>
      <c r="R211" s="152"/>
    </row>
    <row r="212" spans="1:29" outlineLevel="1" x14ac:dyDescent="0.3">
      <c r="A212" s="152"/>
      <c r="B212" s="152"/>
      <c r="C212" s="221" t="s">
        <v>430</v>
      </c>
      <c r="D212" s="152"/>
      <c r="E212" s="175" t="s">
        <v>28</v>
      </c>
      <c r="F212" s="271">
        <f>+F222/F267</f>
        <v>9.8720339480794075E-2</v>
      </c>
      <c r="G212" s="271">
        <f>+G222/G267</f>
        <v>9.9320731924138247E-2</v>
      </c>
      <c r="H212" s="271">
        <f>+H222/H267</f>
        <v>9.8957036889530559E-2</v>
      </c>
      <c r="I212" s="271">
        <f>+I222/I267</f>
        <v>9.6173762140677924E-2</v>
      </c>
      <c r="J212" s="272"/>
      <c r="K212" s="271"/>
      <c r="L212" s="273"/>
      <c r="M212" s="252">
        <v>8.5000000000000006E-2</v>
      </c>
      <c r="N212" s="247">
        <v>0.08</v>
      </c>
      <c r="O212" s="247">
        <v>7.4999999999999997E-2</v>
      </c>
      <c r="P212" s="247">
        <v>7.0000000000000007E-2</v>
      </c>
      <c r="Q212" s="247">
        <v>6.5000000000000002E-2</v>
      </c>
      <c r="R212" s="152"/>
    </row>
    <row r="213" spans="1:29" outlineLevel="1" x14ac:dyDescent="0.3">
      <c r="A213" s="152"/>
      <c r="B213" s="152"/>
      <c r="C213" s="221" t="s">
        <v>85</v>
      </c>
      <c r="D213" s="152"/>
      <c r="E213" s="175" t="s">
        <v>14</v>
      </c>
      <c r="F213" s="4"/>
      <c r="G213" s="4"/>
      <c r="H213" s="223"/>
      <c r="I213" s="223"/>
      <c r="J213" s="264"/>
      <c r="K213" s="223"/>
      <c r="L213" s="265"/>
      <c r="M213" s="33">
        <f>+M212*M267</f>
        <v>71.796504906191032</v>
      </c>
      <c r="N213" s="33">
        <f t="shared" ref="N213:Q213" si="46">+N212*N267</f>
        <v>69.437372691350319</v>
      </c>
      <c r="O213" s="33">
        <f t="shared" si="46"/>
        <v>66.872548516239888</v>
      </c>
      <c r="P213" s="33">
        <f t="shared" si="46"/>
        <v>64.096952075729249</v>
      </c>
      <c r="Q213" s="33">
        <f t="shared" si="46"/>
        <v>61.105396944020228</v>
      </c>
      <c r="R213" s="152"/>
    </row>
    <row r="214" spans="1:29" outlineLevel="1" x14ac:dyDescent="0.3">
      <c r="A214" s="152"/>
      <c r="B214" s="152"/>
      <c r="C214" s="240"/>
      <c r="D214" s="152"/>
      <c r="E214" s="175"/>
      <c r="F214" s="4"/>
      <c r="G214" s="4"/>
      <c r="H214" s="223"/>
      <c r="I214" s="223"/>
      <c r="J214" s="264"/>
      <c r="K214" s="223"/>
      <c r="L214" s="265"/>
      <c r="M214" s="41"/>
      <c r="N214" s="41"/>
      <c r="O214" s="41"/>
      <c r="P214" s="41"/>
      <c r="Q214" s="41"/>
      <c r="R214" s="152"/>
    </row>
    <row r="215" spans="1:29" outlineLevel="1" x14ac:dyDescent="0.3">
      <c r="A215" s="152"/>
      <c r="B215" s="152"/>
      <c r="C215" s="240" t="s">
        <v>287</v>
      </c>
      <c r="D215" s="152"/>
      <c r="E215" s="175" t="s">
        <v>14</v>
      </c>
      <c r="F215" s="4"/>
      <c r="G215" s="4"/>
      <c r="H215" s="223"/>
      <c r="I215" s="223"/>
      <c r="J215" s="264"/>
      <c r="K215" s="223"/>
      <c r="L215" s="265"/>
      <c r="M215" s="33">
        <f t="array" ref="M215:Q215">TRANSPOSE(M209/F194)</f>
        <v>7.1668675928192718</v>
      </c>
      <c r="N215" s="33">
        <v>7.1668675928192718</v>
      </c>
      <c r="O215" s="33">
        <v>7.1668675928192718</v>
      </c>
      <c r="P215" s="33">
        <v>7.1668675928192718</v>
      </c>
      <c r="Q215" s="33">
        <v>7.1668675928192718</v>
      </c>
      <c r="R215" s="152"/>
    </row>
    <row r="216" spans="1:29" outlineLevel="1" x14ac:dyDescent="0.3">
      <c r="A216" s="152"/>
      <c r="B216" s="152"/>
      <c r="C216" s="240" t="s">
        <v>288</v>
      </c>
      <c r="D216" s="152"/>
      <c r="E216" s="175" t="s">
        <v>14</v>
      </c>
      <c r="F216" s="4"/>
      <c r="G216" s="4"/>
      <c r="H216" s="223"/>
      <c r="I216" s="223"/>
      <c r="J216" s="264"/>
      <c r="K216" s="223"/>
      <c r="L216" s="265"/>
      <c r="M216" s="33"/>
      <c r="N216" s="33">
        <f t="array" ref="N216:Q216">TRANSPOSE(N209/PPE_Useful_Life)</f>
        <v>7.3185512951728127</v>
      </c>
      <c r="O216" s="33">
        <v>7.3185512951728127</v>
      </c>
      <c r="P216" s="33">
        <v>7.3185512951728127</v>
      </c>
      <c r="Q216" s="33">
        <v>7.3185512951728127</v>
      </c>
      <c r="R216" s="152"/>
    </row>
    <row r="217" spans="1:29" outlineLevel="1" x14ac:dyDescent="0.3">
      <c r="A217" s="152"/>
      <c r="B217" s="152"/>
      <c r="C217" s="240" t="s">
        <v>289</v>
      </c>
      <c r="D217" s="152"/>
      <c r="E217" s="175" t="s">
        <v>14</v>
      </c>
      <c r="F217" s="4"/>
      <c r="G217" s="4"/>
      <c r="H217" s="223"/>
      <c r="I217" s="223"/>
      <c r="J217" s="264"/>
      <c r="K217" s="223"/>
      <c r="L217" s="265"/>
      <c r="M217" s="33"/>
      <c r="N217" s="33"/>
      <c r="O217" s="33">
        <f t="array" ref="O217:Q217">TRANSPOSE(O209/PPE_Useful_Life)</f>
        <v>8.078740689280357</v>
      </c>
      <c r="P217" s="33">
        <v>8.078740689280357</v>
      </c>
      <c r="Q217" s="33">
        <v>8.078740689280357</v>
      </c>
      <c r="R217" s="152"/>
      <c r="S217" s="222"/>
      <c r="T217" s="222"/>
      <c r="U217" s="222"/>
      <c r="V217" s="222"/>
      <c r="W217" s="222"/>
      <c r="X217" s="222"/>
      <c r="Y217" s="222"/>
      <c r="Z217" s="222"/>
      <c r="AA217" s="222"/>
      <c r="AB217" s="222"/>
      <c r="AC217" s="152"/>
    </row>
    <row r="218" spans="1:29" outlineLevel="1" x14ac:dyDescent="0.3">
      <c r="A218" s="152"/>
      <c r="B218" s="152"/>
      <c r="C218" s="240" t="s">
        <v>290</v>
      </c>
      <c r="D218" s="152"/>
      <c r="E218" s="175" t="s">
        <v>14</v>
      </c>
      <c r="F218" s="4"/>
      <c r="G218" s="4"/>
      <c r="H218" s="223"/>
      <c r="I218" s="223"/>
      <c r="J218" s="264"/>
      <c r="K218" s="223"/>
      <c r="L218" s="265"/>
      <c r="M218" s="33"/>
      <c r="N218" s="33"/>
      <c r="O218" s="33"/>
      <c r="P218" s="33">
        <f t="array" ref="P218:Q218">TRANSPOSE(P209/PPE_Useful_Life)</f>
        <v>9.0830484397206384</v>
      </c>
      <c r="Q218" s="33">
        <v>9.0830484397206384</v>
      </c>
      <c r="R218" s="15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152"/>
    </row>
    <row r="219" spans="1:29" outlineLevel="1" x14ac:dyDescent="0.3">
      <c r="A219" s="152"/>
      <c r="B219" s="152"/>
      <c r="C219" s="240" t="s">
        <v>291</v>
      </c>
      <c r="D219" s="244"/>
      <c r="E219" s="175" t="s">
        <v>14</v>
      </c>
      <c r="F219" s="4"/>
      <c r="G219" s="4"/>
      <c r="H219" s="223"/>
      <c r="I219" s="223"/>
      <c r="J219" s="264"/>
      <c r="K219" s="223"/>
      <c r="L219" s="265"/>
      <c r="M219" s="33"/>
      <c r="N219" s="33"/>
      <c r="O219" s="33"/>
      <c r="P219" s="33"/>
      <c r="Q219" s="33">
        <f t="array" ref="Q219">TRANSPOSE(Q209/PPE_Useful_Life)</f>
        <v>9.9003111248307505</v>
      </c>
      <c r="R219" s="15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152"/>
    </row>
    <row r="220" spans="1:29" outlineLevel="1" x14ac:dyDescent="0.3">
      <c r="A220" s="152"/>
      <c r="B220" s="152"/>
      <c r="C220" s="35" t="s">
        <v>87</v>
      </c>
      <c r="D220" s="152"/>
      <c r="E220" s="177" t="s">
        <v>14</v>
      </c>
      <c r="F220" s="6"/>
      <c r="G220" s="6"/>
      <c r="H220" s="242"/>
      <c r="I220" s="242"/>
      <c r="J220" s="276"/>
      <c r="K220" s="242"/>
      <c r="L220" s="277"/>
      <c r="M220" s="36">
        <f>SUM(M215:M219)</f>
        <v>7.1668675928192718</v>
      </c>
      <c r="N220" s="36">
        <f t="shared" ref="N220:Q220" si="47">SUM(N215:N219)</f>
        <v>14.485418887992084</v>
      </c>
      <c r="O220" s="36">
        <f t="shared" si="47"/>
        <v>22.564159577272441</v>
      </c>
      <c r="P220" s="36">
        <f t="shared" si="47"/>
        <v>31.64720801699308</v>
      </c>
      <c r="Q220" s="36">
        <f t="shared" si="47"/>
        <v>41.547519141823827</v>
      </c>
      <c r="R220" s="15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</row>
    <row r="221" spans="1:29" outlineLevel="1" x14ac:dyDescent="0.3">
      <c r="A221" s="152"/>
      <c r="B221" s="152"/>
      <c r="C221" s="240"/>
      <c r="D221" s="152"/>
      <c r="E221" s="175"/>
      <c r="F221" s="4"/>
      <c r="G221" s="4"/>
      <c r="H221" s="223"/>
      <c r="I221" s="223"/>
      <c r="J221" s="264"/>
      <c r="K221" s="223"/>
      <c r="L221" s="265"/>
      <c r="M221" s="41"/>
      <c r="N221" s="41"/>
      <c r="O221" s="41"/>
      <c r="P221" s="41"/>
      <c r="Q221" s="41"/>
      <c r="R221" s="15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</row>
    <row r="222" spans="1:29" outlineLevel="1" x14ac:dyDescent="0.3">
      <c r="A222" s="152"/>
      <c r="B222" s="152"/>
      <c r="C222" s="59" t="s">
        <v>88</v>
      </c>
      <c r="D222" s="152"/>
      <c r="E222" s="175" t="s">
        <v>14</v>
      </c>
      <c r="F222" s="42">
        <f>+F401</f>
        <v>80.679000000000002</v>
      </c>
      <c r="G222" s="42">
        <f t="shared" ref="G222:I222" si="48">+G401</f>
        <v>81.56</v>
      </c>
      <c r="H222" s="42">
        <f t="shared" si="48"/>
        <v>79.510000000000005</v>
      </c>
      <c r="I222" s="42">
        <f t="shared" si="48"/>
        <v>79.028000000000006</v>
      </c>
      <c r="J222" s="264"/>
      <c r="K222" s="223"/>
      <c r="L222" s="265"/>
      <c r="M222" s="42">
        <f>+M213+M220</f>
        <v>78.963372499010305</v>
      </c>
      <c r="N222" s="42">
        <f t="shared" ref="N222:Q222" si="49">+N213+N220</f>
        <v>83.922791579342402</v>
      </c>
      <c r="O222" s="42">
        <f t="shared" si="49"/>
        <v>89.436708093512323</v>
      </c>
      <c r="P222" s="42">
        <f t="shared" si="49"/>
        <v>95.744160092722325</v>
      </c>
      <c r="Q222" s="42">
        <f t="shared" si="49"/>
        <v>102.65291608584405</v>
      </c>
      <c r="R222" s="15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</row>
    <row r="223" spans="1:29" outlineLevel="1" x14ac:dyDescent="0.3">
      <c r="A223" s="152"/>
      <c r="B223" s="152"/>
      <c r="C223" s="12" t="s">
        <v>89</v>
      </c>
      <c r="D223" s="152"/>
      <c r="E223" s="175" t="s">
        <v>28</v>
      </c>
      <c r="F223" s="17">
        <f>+F222/F267</f>
        <v>9.8720339480794075E-2</v>
      </c>
      <c r="G223" s="17">
        <f>+G222/G267</f>
        <v>9.9320731924138247E-2</v>
      </c>
      <c r="H223" s="17">
        <f>+H222/H267</f>
        <v>9.8957036889530559E-2</v>
      </c>
      <c r="I223" s="17">
        <f>+I222/I267</f>
        <v>9.6173762140677924E-2</v>
      </c>
      <c r="J223" s="264"/>
      <c r="K223" s="223"/>
      <c r="L223" s="265"/>
      <c r="M223" s="17">
        <f t="shared" ref="M223:Q223" si="50">+M222/M267</f>
        <v>9.3484866306313863E-2</v>
      </c>
      <c r="N223" s="17">
        <f t="shared" si="50"/>
        <v>9.6688902044010094E-2</v>
      </c>
      <c r="O223" s="17">
        <f t="shared" si="50"/>
        <v>0.10030652720502281</v>
      </c>
      <c r="P223" s="17">
        <f t="shared" si="50"/>
        <v>0.10456177695582433</v>
      </c>
      <c r="Q223" s="17">
        <f t="shared" si="50"/>
        <v>0.10919558466648384</v>
      </c>
      <c r="R223" s="15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</row>
    <row r="224" spans="1:29" x14ac:dyDescent="0.3">
      <c r="A224" s="152"/>
      <c r="B224" s="152"/>
      <c r="C224" s="240"/>
      <c r="D224" s="152"/>
      <c r="E224" s="4"/>
      <c r="F224" s="4"/>
      <c r="G224" s="4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152"/>
    </row>
    <row r="225" spans="1:18" x14ac:dyDescent="0.3">
      <c r="A225" s="152"/>
      <c r="B225" s="172"/>
      <c r="C225" s="172"/>
      <c r="D225" s="172"/>
      <c r="E225" s="169"/>
      <c r="F225" s="157" t="str">
        <f>$F$131</f>
        <v>Historical</v>
      </c>
      <c r="G225" s="158"/>
      <c r="H225" s="159"/>
      <c r="I225" s="159"/>
      <c r="J225" s="165" t="str">
        <f>$J$131</f>
        <v>Transaction Adjustments</v>
      </c>
      <c r="K225" s="166"/>
      <c r="L225" s="167"/>
      <c r="M225" s="157" t="str">
        <f>$M$131</f>
        <v>Projected</v>
      </c>
      <c r="N225" s="158"/>
      <c r="O225" s="158"/>
      <c r="P225" s="158"/>
      <c r="Q225" s="159"/>
      <c r="R225" s="152"/>
    </row>
    <row r="226" spans="1:18" x14ac:dyDescent="0.3">
      <c r="A226" s="152"/>
      <c r="B226" s="173" t="s">
        <v>320</v>
      </c>
      <c r="C226" s="360"/>
      <c r="D226" s="360"/>
      <c r="E226" s="170" t="str">
        <f>$E$132</f>
        <v>Units</v>
      </c>
      <c r="F226" s="160">
        <f>$F$132</f>
        <v>40543</v>
      </c>
      <c r="G226" s="161">
        <f>$G$132</f>
        <v>40908</v>
      </c>
      <c r="H226" s="161">
        <f>$H$132</f>
        <v>41274</v>
      </c>
      <c r="I226" s="162">
        <f>$I$132</f>
        <v>41639</v>
      </c>
      <c r="J226" s="164" t="str">
        <f>$J$132</f>
        <v xml:space="preserve">Debit </v>
      </c>
      <c r="K226" s="164" t="str">
        <f>$K$132</f>
        <v>Credit</v>
      </c>
      <c r="L226" s="168">
        <f>$L$132</f>
        <v>41639</v>
      </c>
      <c r="M226" s="160">
        <f>$M$132</f>
        <v>42004</v>
      </c>
      <c r="N226" s="161">
        <f>$N$132</f>
        <v>42369</v>
      </c>
      <c r="O226" s="161">
        <f>$O$132</f>
        <v>42735</v>
      </c>
      <c r="P226" s="160">
        <f>$P$132</f>
        <v>43100</v>
      </c>
      <c r="Q226" s="163">
        <f>$Q$132</f>
        <v>43465</v>
      </c>
      <c r="R226" s="152"/>
    </row>
    <row r="227" spans="1:18" outlineLevel="1" x14ac:dyDescent="0.3">
      <c r="A227" s="152"/>
      <c r="B227" s="152"/>
      <c r="C227" s="152"/>
      <c r="D227" s="152"/>
      <c r="E227" s="152"/>
      <c r="F227" s="152"/>
      <c r="G227" s="152"/>
      <c r="H227" s="152"/>
      <c r="I227" s="152"/>
      <c r="J227" s="269"/>
      <c r="K227" s="365"/>
      <c r="L227" s="270"/>
      <c r="M227" s="152"/>
      <c r="N227" s="152"/>
      <c r="O227" s="152"/>
      <c r="P227" s="152"/>
      <c r="Q227" s="152"/>
      <c r="R227" s="152"/>
    </row>
    <row r="228" spans="1:18" outlineLevel="1" x14ac:dyDescent="0.3">
      <c r="A228" s="152"/>
      <c r="B228" s="152"/>
      <c r="C228" s="221" t="s">
        <v>91</v>
      </c>
      <c r="D228" s="152"/>
      <c r="E228" s="175" t="s">
        <v>28</v>
      </c>
      <c r="F228" s="284">
        <f>+F343/F267</f>
        <v>3.9445798582560004E-2</v>
      </c>
      <c r="G228" s="284">
        <f>+G343/G267</f>
        <v>2.953440058062929E-2</v>
      </c>
      <c r="H228" s="284">
        <f>+H343/H267</f>
        <v>3.2870762184497443E-2</v>
      </c>
      <c r="I228" s="284">
        <f>+I343/I267</f>
        <v>3.0279133671891067E-2</v>
      </c>
      <c r="J228" s="285"/>
      <c r="K228" s="284"/>
      <c r="L228" s="286"/>
      <c r="M228" s="266">
        <f>AVERAGE(F228:I228)</f>
        <v>3.3032523754894447E-2</v>
      </c>
      <c r="N228" s="267">
        <f>+M228</f>
        <v>3.3032523754894447E-2</v>
      </c>
      <c r="O228" s="267">
        <f t="shared" ref="O228:Q228" si="51">+N228</f>
        <v>3.3032523754894447E-2</v>
      </c>
      <c r="P228" s="267">
        <f t="shared" si="51"/>
        <v>3.3032523754894447E-2</v>
      </c>
      <c r="Q228" s="267">
        <f t="shared" si="51"/>
        <v>3.3032523754894447E-2</v>
      </c>
      <c r="R228" s="152"/>
    </row>
    <row r="229" spans="1:18" outlineLevel="1" x14ac:dyDescent="0.3">
      <c r="A229" s="152"/>
      <c r="B229" s="152"/>
      <c r="C229" s="221" t="s">
        <v>92</v>
      </c>
      <c r="D229" s="152"/>
      <c r="E229" s="175" t="s">
        <v>28</v>
      </c>
      <c r="F229" s="284">
        <f>+F344/F273</f>
        <v>0.14801973062571067</v>
      </c>
      <c r="G229" s="284">
        <f>+G344/G273</f>
        <v>0.14537479256102406</v>
      </c>
      <c r="H229" s="284">
        <f>+H344/H273</f>
        <v>0.15254441869447663</v>
      </c>
      <c r="I229" s="284">
        <f>+I344/I273</f>
        <v>0.16023239940734821</v>
      </c>
      <c r="J229" s="285"/>
      <c r="K229" s="284"/>
      <c r="L229" s="286"/>
      <c r="M229" s="252">
        <v>0.16300000000000001</v>
      </c>
      <c r="N229" s="247">
        <v>0.16500000000000001</v>
      </c>
      <c r="O229" s="247">
        <v>0.16700000000000001</v>
      </c>
      <c r="P229" s="247">
        <v>0.16900000000000001</v>
      </c>
      <c r="Q229" s="247">
        <v>0.17100000000000001</v>
      </c>
      <c r="R229" s="152"/>
    </row>
    <row r="230" spans="1:18" outlineLevel="1" x14ac:dyDescent="0.3">
      <c r="A230" s="152"/>
      <c r="B230" s="152"/>
      <c r="C230" s="221" t="s">
        <v>93</v>
      </c>
      <c r="D230" s="152"/>
      <c r="E230" s="175" t="s">
        <v>28</v>
      </c>
      <c r="F230" s="284">
        <f>+F345/F295</f>
        <v>2.3732518077703487E-2</v>
      </c>
      <c r="G230" s="284">
        <f>+G345/G295</f>
        <v>2.5949486255312283E-2</v>
      </c>
      <c r="H230" s="284">
        <f>+H345/H295</f>
        <v>3.0278086503581682E-2</v>
      </c>
      <c r="I230" s="284">
        <f>+I345/I295</f>
        <v>3.2536174673845522E-2</v>
      </c>
      <c r="J230" s="285"/>
      <c r="K230" s="284"/>
      <c r="L230" s="286"/>
      <c r="M230" s="252">
        <v>3.5000000000000003E-2</v>
      </c>
      <c r="N230" s="247">
        <v>3.6999999999999998E-2</v>
      </c>
      <c r="O230" s="247">
        <v>3.9E-2</v>
      </c>
      <c r="P230" s="247">
        <v>4.1000000000000002E-2</v>
      </c>
      <c r="Q230" s="247">
        <v>4.2999999999999997E-2</v>
      </c>
      <c r="R230" s="152"/>
    </row>
    <row r="231" spans="1:18" outlineLevel="1" x14ac:dyDescent="0.3">
      <c r="A231" s="152"/>
      <c r="B231" s="152"/>
      <c r="C231" s="240"/>
      <c r="D231" s="152"/>
      <c r="E231" s="175"/>
      <c r="F231" s="4"/>
      <c r="G231" s="4"/>
      <c r="H231" s="223"/>
      <c r="I231" s="223"/>
      <c r="J231" s="264"/>
      <c r="K231" s="223"/>
      <c r="L231" s="265"/>
      <c r="M231" s="223"/>
      <c r="N231" s="223"/>
      <c r="O231" s="223"/>
      <c r="P231" s="223"/>
      <c r="Q231" s="223"/>
      <c r="R231" s="152"/>
    </row>
    <row r="232" spans="1:18" outlineLevel="1" x14ac:dyDescent="0.3">
      <c r="A232" s="152"/>
      <c r="B232" s="152"/>
      <c r="C232" s="221" t="s">
        <v>94</v>
      </c>
      <c r="D232" s="152"/>
      <c r="E232" s="175" t="s">
        <v>28</v>
      </c>
      <c r="F232" s="284">
        <f>+F361/F273</f>
        <v>0.34307586361525277</v>
      </c>
      <c r="G232" s="284">
        <f>+G361/G273</f>
        <v>0.25599333078822917</v>
      </c>
      <c r="H232" s="284">
        <f>+H361/H273</f>
        <v>0.26295545255568425</v>
      </c>
      <c r="I232" s="284">
        <f>+I361/I273</f>
        <v>0.2977409312623816</v>
      </c>
      <c r="J232" s="285"/>
      <c r="K232" s="284"/>
      <c r="L232" s="286"/>
      <c r="M232" s="266">
        <f>AVERAGE(F232:I232)</f>
        <v>0.28994139455538692</v>
      </c>
      <c r="N232" s="267">
        <f>+M232</f>
        <v>0.28994139455538692</v>
      </c>
      <c r="O232" s="267">
        <f t="shared" ref="O232:Q240" si="52">+N232</f>
        <v>0.28994139455538692</v>
      </c>
      <c r="P232" s="267">
        <f t="shared" si="52"/>
        <v>0.28994139455538692</v>
      </c>
      <c r="Q232" s="267">
        <f t="shared" si="52"/>
        <v>0.28994139455538692</v>
      </c>
      <c r="R232" s="152"/>
    </row>
    <row r="233" spans="1:18" outlineLevel="1" x14ac:dyDescent="0.3">
      <c r="A233" s="152"/>
      <c r="B233" s="152"/>
      <c r="C233" s="221" t="s">
        <v>95</v>
      </c>
      <c r="D233" s="152"/>
      <c r="E233" s="175" t="s">
        <v>28</v>
      </c>
      <c r="F233" s="284">
        <f>+F362/F295</f>
        <v>5.6119183473370297E-2</v>
      </c>
      <c r="G233" s="284">
        <f>+G362/G295</f>
        <v>5.8218233901769868E-2</v>
      </c>
      <c r="H233" s="284">
        <f>+H362/H295</f>
        <v>5.9181486893825921E-2</v>
      </c>
      <c r="I233" s="284">
        <f>+I362/I295</f>
        <v>5.5007830296127561E-2</v>
      </c>
      <c r="J233" s="285"/>
      <c r="K233" s="284"/>
      <c r="L233" s="286"/>
      <c r="M233" s="266">
        <f>AVERAGE(F233:I233)</f>
        <v>5.7131683641273412E-2</v>
      </c>
      <c r="N233" s="267">
        <f>+M233</f>
        <v>5.7131683641273412E-2</v>
      </c>
      <c r="O233" s="267">
        <f t="shared" si="52"/>
        <v>5.7131683641273412E-2</v>
      </c>
      <c r="P233" s="267">
        <f t="shared" si="52"/>
        <v>5.7131683641273412E-2</v>
      </c>
      <c r="Q233" s="267">
        <f t="shared" si="52"/>
        <v>5.7131683641273412E-2</v>
      </c>
      <c r="R233" s="152"/>
    </row>
    <row r="234" spans="1:18" outlineLevel="1" x14ac:dyDescent="0.3">
      <c r="A234" s="152"/>
      <c r="B234" s="152"/>
      <c r="C234" s="221" t="s">
        <v>96</v>
      </c>
      <c r="D234" s="152"/>
      <c r="E234" s="175" t="s">
        <v>28</v>
      </c>
      <c r="F234" s="284">
        <f>+F363/F267</f>
        <v>1.1493451192294139E-2</v>
      </c>
      <c r="G234" s="284">
        <f>+G363/G267</f>
        <v>1.1999834384262607E-2</v>
      </c>
      <c r="H234" s="284">
        <f>+H363/H267</f>
        <v>1.465997909095435E-2</v>
      </c>
      <c r="I234" s="284">
        <f>+I363/I267</f>
        <v>1.7650759807769305E-2</v>
      </c>
      <c r="J234" s="285"/>
      <c r="K234" s="284"/>
      <c r="L234" s="286"/>
      <c r="M234" s="252">
        <v>1.9E-2</v>
      </c>
      <c r="N234" s="247">
        <v>2.1000000000000001E-2</v>
      </c>
      <c r="O234" s="247">
        <v>2.3E-2</v>
      </c>
      <c r="P234" s="247">
        <v>2.5000000000000001E-2</v>
      </c>
      <c r="Q234" s="247">
        <v>2.7E-2</v>
      </c>
      <c r="R234" s="152"/>
    </row>
    <row r="235" spans="1:18" outlineLevel="1" x14ac:dyDescent="0.3">
      <c r="A235" s="152"/>
      <c r="B235" s="152"/>
      <c r="C235" s="251" t="s">
        <v>317</v>
      </c>
      <c r="D235" s="152"/>
      <c r="E235" s="175" t="s">
        <v>28</v>
      </c>
      <c r="F235" s="284">
        <f>+F364/F295</f>
        <v>4.9926463579044846E-3</v>
      </c>
      <c r="G235" s="284">
        <f>+G364/G295</f>
        <v>9.2662327182742484E-3</v>
      </c>
      <c r="H235" s="284">
        <f>+H364/H295</f>
        <v>3.5091987329559753E-3</v>
      </c>
      <c r="I235" s="284">
        <f>+I364/I295</f>
        <v>2.2924647960240216E-3</v>
      </c>
      <c r="J235" s="285"/>
      <c r="K235" s="284"/>
      <c r="L235" s="286"/>
      <c r="M235" s="266">
        <f>AVERAGE(F235:I235)</f>
        <v>5.0151356512896823E-3</v>
      </c>
      <c r="N235" s="267">
        <f>+M235</f>
        <v>5.0151356512896823E-3</v>
      </c>
      <c r="O235" s="267">
        <f t="shared" si="52"/>
        <v>5.0151356512896823E-3</v>
      </c>
      <c r="P235" s="267">
        <f t="shared" si="52"/>
        <v>5.0151356512896823E-3</v>
      </c>
      <c r="Q235" s="267">
        <f t="shared" si="52"/>
        <v>5.0151356512896823E-3</v>
      </c>
      <c r="R235" s="152"/>
    </row>
    <row r="236" spans="1:18" outlineLevel="1" x14ac:dyDescent="0.3">
      <c r="A236" s="152"/>
      <c r="B236" s="152"/>
      <c r="C236" s="412" t="s">
        <v>327</v>
      </c>
      <c r="D236" s="152"/>
      <c r="E236" s="175" t="s">
        <v>28</v>
      </c>
      <c r="F236" s="284">
        <f>+F370/F295</f>
        <v>0.17112367736576203</v>
      </c>
      <c r="G236" s="284">
        <f>+G370/G295</f>
        <v>0.16907008176878799</v>
      </c>
      <c r="H236" s="284">
        <f>+H370/H295</f>
        <v>0.16880312328684954</v>
      </c>
      <c r="I236" s="284">
        <f>+I370/I295</f>
        <v>0.16896775988817561</v>
      </c>
      <c r="J236" s="264"/>
      <c r="K236" s="223"/>
      <c r="L236" s="265"/>
      <c r="M236" s="266">
        <f>AVERAGE(F236:I236)</f>
        <v>0.16949116057739377</v>
      </c>
      <c r="N236" s="267">
        <f>+M236</f>
        <v>0.16949116057739377</v>
      </c>
      <c r="O236" s="267">
        <f t="shared" si="52"/>
        <v>0.16949116057739377</v>
      </c>
      <c r="P236" s="267">
        <f t="shared" si="52"/>
        <v>0.16949116057739377</v>
      </c>
      <c r="Q236" s="267">
        <f t="shared" si="52"/>
        <v>0.16949116057739377</v>
      </c>
      <c r="R236" s="152"/>
    </row>
    <row r="237" spans="1:18" outlineLevel="1" x14ac:dyDescent="0.3">
      <c r="A237" s="152"/>
      <c r="B237" s="152"/>
      <c r="C237" s="412"/>
      <c r="D237" s="152"/>
      <c r="E237" s="175"/>
      <c r="F237" s="284"/>
      <c r="G237" s="284"/>
      <c r="H237" s="284"/>
      <c r="I237" s="284"/>
      <c r="J237" s="264"/>
      <c r="K237" s="223"/>
      <c r="L237" s="265"/>
      <c r="M237" s="429"/>
      <c r="N237" s="429"/>
      <c r="O237" s="429"/>
      <c r="P237" s="429"/>
      <c r="Q237" s="429"/>
      <c r="R237" s="152"/>
    </row>
    <row r="238" spans="1:18" outlineLevel="1" x14ac:dyDescent="0.3">
      <c r="A238" s="152"/>
      <c r="B238" s="152"/>
      <c r="C238" s="221" t="s">
        <v>401</v>
      </c>
      <c r="D238" s="152"/>
      <c r="E238" s="175" t="s">
        <v>28</v>
      </c>
      <c r="F238" s="40">
        <f>+F408/F267</f>
        <v>8.9789146011981669E-3</v>
      </c>
      <c r="G238" s="40">
        <f>+G408/G267</f>
        <v>8.749625537946705E-3</v>
      </c>
      <c r="H238" s="40">
        <f>+H408/H267</f>
        <v>9.2945686264748351E-3</v>
      </c>
      <c r="I238" s="40">
        <f>+I408/I267</f>
        <v>1.0321021368566703E-2</v>
      </c>
      <c r="J238" s="69"/>
      <c r="K238" s="40"/>
      <c r="L238" s="78"/>
      <c r="M238" s="266">
        <f>AVERAGE(F238:I238)</f>
        <v>9.336032533546602E-3</v>
      </c>
      <c r="N238" s="267">
        <f>+M238</f>
        <v>9.336032533546602E-3</v>
      </c>
      <c r="O238" s="267">
        <f t="shared" si="52"/>
        <v>9.336032533546602E-3</v>
      </c>
      <c r="P238" s="267">
        <f t="shared" si="52"/>
        <v>9.336032533546602E-3</v>
      </c>
      <c r="Q238" s="267">
        <f t="shared" si="52"/>
        <v>9.336032533546602E-3</v>
      </c>
      <c r="R238" s="152"/>
    </row>
    <row r="239" spans="1:18" outlineLevel="1" x14ac:dyDescent="0.3">
      <c r="A239" s="152"/>
      <c r="B239" s="152"/>
      <c r="D239" s="1"/>
      <c r="E239" s="1"/>
      <c r="F239" s="1"/>
      <c r="G239" s="1"/>
      <c r="H239" s="1"/>
      <c r="I239" s="536"/>
      <c r="J239" s="542"/>
      <c r="K239" s="536"/>
      <c r="L239" s="431"/>
      <c r="M239" s="1"/>
      <c r="R239" s="152"/>
    </row>
    <row r="240" spans="1:18" outlineLevel="1" x14ac:dyDescent="0.3">
      <c r="A240" s="152"/>
      <c r="B240" s="152"/>
      <c r="C240" s="1" t="s">
        <v>313</v>
      </c>
      <c r="D240" s="1"/>
      <c r="E240" s="175" t="s">
        <v>14</v>
      </c>
      <c r="F240" s="430">
        <f>+F411</f>
        <v>1.5669999999999999</v>
      </c>
      <c r="G240" s="430">
        <f t="shared" ref="G240:I240" si="53">+G411</f>
        <v>1.7950000000000002</v>
      </c>
      <c r="H240" s="430">
        <f t="shared" si="53"/>
        <v>2.2349999999999994</v>
      </c>
      <c r="I240" s="538">
        <f t="shared" si="53"/>
        <v>1.5370000000000001</v>
      </c>
      <c r="J240" s="542"/>
      <c r="K240" s="536"/>
      <c r="L240" s="431"/>
      <c r="M240" s="288">
        <f>AVERAGE(F240:I240)</f>
        <v>1.7834999999999999</v>
      </c>
      <c r="N240" s="289">
        <f>+M240</f>
        <v>1.7834999999999999</v>
      </c>
      <c r="O240" s="289">
        <f t="shared" si="52"/>
        <v>1.7834999999999999</v>
      </c>
      <c r="P240" s="289">
        <f t="shared" si="52"/>
        <v>1.7834999999999999</v>
      </c>
      <c r="Q240" s="289">
        <f t="shared" si="52"/>
        <v>1.7834999999999999</v>
      </c>
      <c r="R240" s="152"/>
    </row>
    <row r="241" spans="1:18" outlineLevel="1" x14ac:dyDescent="0.3">
      <c r="A241" s="152"/>
      <c r="B241" s="152"/>
      <c r="C241" s="1" t="s">
        <v>103</v>
      </c>
      <c r="D241" s="1"/>
      <c r="E241" s="175" t="s">
        <v>14</v>
      </c>
      <c r="F241" s="430">
        <f>+F425</f>
        <v>-3.0249999999999999</v>
      </c>
      <c r="G241" s="430">
        <f t="shared" ref="G241:I241" si="54">+G425</f>
        <v>1.7000000000000001E-2</v>
      </c>
      <c r="H241" s="430">
        <f t="shared" si="54"/>
        <v>0.58599999999999997</v>
      </c>
      <c r="I241" s="538">
        <f t="shared" si="54"/>
        <v>3.1429999999999998</v>
      </c>
      <c r="J241" s="542"/>
      <c r="K241" s="536"/>
      <c r="L241" s="431"/>
      <c r="M241" s="428">
        <v>0</v>
      </c>
      <c r="N241" s="289">
        <f>+M241</f>
        <v>0</v>
      </c>
      <c r="O241" s="289">
        <f t="shared" ref="O241:Q241" si="55">+N241</f>
        <v>0</v>
      </c>
      <c r="P241" s="289">
        <f t="shared" si="55"/>
        <v>0</v>
      </c>
      <c r="Q241" s="289">
        <f t="shared" si="55"/>
        <v>0</v>
      </c>
      <c r="R241" s="152"/>
    </row>
    <row r="242" spans="1:18" outlineLevel="1" x14ac:dyDescent="0.3">
      <c r="A242" s="152"/>
      <c r="B242" s="152"/>
      <c r="D242" s="1"/>
      <c r="E242" s="1"/>
      <c r="F242" s="1"/>
      <c r="G242" s="1"/>
      <c r="H242" s="1"/>
      <c r="I242" s="536"/>
      <c r="J242" s="542"/>
      <c r="K242" s="536"/>
      <c r="L242" s="431"/>
      <c r="M242" s="1"/>
      <c r="R242" s="152"/>
    </row>
    <row r="243" spans="1:18" outlineLevel="1" x14ac:dyDescent="0.3">
      <c r="A243" s="152"/>
      <c r="B243" s="152"/>
      <c r="C243" s="152" t="s">
        <v>335</v>
      </c>
      <c r="D243" s="1"/>
      <c r="E243" s="175" t="s">
        <v>14</v>
      </c>
      <c r="F243" s="1"/>
      <c r="G243" s="1"/>
      <c r="H243" s="1"/>
      <c r="I243" s="539">
        <v>37.243000000000002</v>
      </c>
      <c r="J243" s="542"/>
      <c r="K243" s="536"/>
      <c r="L243" s="431"/>
      <c r="M243" s="1"/>
      <c r="R243" s="152"/>
    </row>
    <row r="244" spans="1:18" outlineLevel="1" x14ac:dyDescent="0.3">
      <c r="A244" s="152"/>
      <c r="B244" s="152"/>
      <c r="C244" s="152" t="s">
        <v>339</v>
      </c>
      <c r="D244" s="1"/>
      <c r="E244" s="175" t="s">
        <v>14</v>
      </c>
      <c r="F244" s="1"/>
      <c r="G244" s="1"/>
      <c r="H244" s="1"/>
      <c r="I244" s="539">
        <v>15.864000000000001</v>
      </c>
      <c r="J244" s="542"/>
      <c r="K244" s="536"/>
      <c r="L244" s="431"/>
      <c r="M244" s="1"/>
      <c r="R244" s="152"/>
    </row>
    <row r="245" spans="1:18" outlineLevel="1" x14ac:dyDescent="0.3">
      <c r="A245" s="152"/>
      <c r="B245" s="152"/>
      <c r="C245" s="152" t="s">
        <v>340</v>
      </c>
      <c r="D245" s="1"/>
      <c r="E245" s="175" t="s">
        <v>14</v>
      </c>
      <c r="F245" s="1"/>
      <c r="G245" s="1"/>
      <c r="H245" s="1"/>
      <c r="I245" s="538">
        <f>SUM(M248:Q248)</f>
        <v>13.04</v>
      </c>
      <c r="J245" s="542"/>
      <c r="K245" s="536"/>
      <c r="L245" s="431"/>
      <c r="M245" s="1"/>
      <c r="R245" s="152"/>
    </row>
    <row r="246" spans="1:18" outlineLevel="1" x14ac:dyDescent="0.3">
      <c r="A246" s="152"/>
      <c r="B246" s="152"/>
      <c r="C246" s="152" t="s">
        <v>341</v>
      </c>
      <c r="D246" s="1"/>
      <c r="E246" s="1"/>
      <c r="F246" s="1"/>
      <c r="G246" s="1"/>
      <c r="H246" s="1"/>
      <c r="I246" s="538">
        <f>(+I244/I243)*I245</f>
        <v>5.5545084982412805</v>
      </c>
      <c r="J246" s="542"/>
      <c r="K246" s="536"/>
      <c r="L246" s="431"/>
      <c r="M246" s="1"/>
      <c r="R246" s="152"/>
    </row>
    <row r="247" spans="1:18" outlineLevel="1" x14ac:dyDescent="0.3">
      <c r="A247" s="152"/>
      <c r="B247" s="152"/>
      <c r="D247" s="1"/>
      <c r="E247" s="1"/>
      <c r="F247" s="1"/>
      <c r="G247" s="1"/>
      <c r="H247" s="1"/>
      <c r="I247" s="538"/>
      <c r="J247" s="542"/>
      <c r="K247" s="536"/>
      <c r="L247" s="431"/>
      <c r="M247" s="1"/>
      <c r="R247" s="152"/>
    </row>
    <row r="248" spans="1:18" outlineLevel="1" x14ac:dyDescent="0.3">
      <c r="A248" s="152"/>
      <c r="B248" s="152"/>
      <c r="C248" s="152" t="s">
        <v>337</v>
      </c>
      <c r="D248" s="1"/>
      <c r="E248" s="175" t="s">
        <v>14</v>
      </c>
      <c r="F248" s="1"/>
      <c r="G248" s="1"/>
      <c r="H248" s="1"/>
      <c r="I248" s="536"/>
      <c r="J248" s="542"/>
      <c r="K248" s="536"/>
      <c r="L248" s="431"/>
      <c r="M248" s="428">
        <v>2.6339999999999999</v>
      </c>
      <c r="N248" s="427">
        <v>2.5779999999999998</v>
      </c>
      <c r="O248" s="427">
        <v>2.4609999999999999</v>
      </c>
      <c r="P248" s="427">
        <v>2.488</v>
      </c>
      <c r="Q248" s="427">
        <v>2.879</v>
      </c>
      <c r="R248" s="152"/>
    </row>
    <row r="249" spans="1:18" outlineLevel="1" x14ac:dyDescent="0.3">
      <c r="A249" s="152"/>
      <c r="B249" s="152"/>
      <c r="C249" s="224" t="s">
        <v>336</v>
      </c>
      <c r="D249" s="1"/>
      <c r="E249" s="178" t="s">
        <v>14</v>
      </c>
      <c r="F249" s="1"/>
      <c r="G249" s="1"/>
      <c r="H249" s="1"/>
      <c r="I249" s="536"/>
      <c r="J249" s="542"/>
      <c r="K249" s="536"/>
      <c r="L249" s="431"/>
      <c r="M249" s="537">
        <f>-$I$246*(M248/$I$245)</f>
        <v>-1.1219766399054856</v>
      </c>
      <c r="N249" s="434">
        <f t="shared" ref="N249:Q249" si="56">-$I$246*(N248/$I$245)</f>
        <v>-1.0981229224283757</v>
      </c>
      <c r="O249" s="434">
        <f t="shared" si="56"/>
        <v>-1.0482856912708429</v>
      </c>
      <c r="P249" s="434">
        <f t="shared" si="56"/>
        <v>-1.0597865907687352</v>
      </c>
      <c r="Q249" s="434">
        <f t="shared" si="56"/>
        <v>-1.2263366538678411</v>
      </c>
      <c r="R249" s="152"/>
    </row>
    <row r="250" spans="1:18" outlineLevel="1" x14ac:dyDescent="0.3">
      <c r="A250" s="152"/>
      <c r="B250" s="152"/>
      <c r="C250" s="8" t="s">
        <v>338</v>
      </c>
      <c r="D250" s="432"/>
      <c r="E250" s="175" t="s">
        <v>14</v>
      </c>
      <c r="F250" s="432"/>
      <c r="G250" s="432"/>
      <c r="H250" s="432"/>
      <c r="I250" s="432"/>
      <c r="J250" s="543"/>
      <c r="K250" s="432"/>
      <c r="L250" s="433"/>
      <c r="M250" s="30">
        <f>SUM(M248:M249)</f>
        <v>1.5120233600945143</v>
      </c>
      <c r="N250" s="30">
        <f t="shared" ref="N250:Q250" si="57">SUM(N248:N249)</f>
        <v>1.4798770775716241</v>
      </c>
      <c r="O250" s="30">
        <f t="shared" si="57"/>
        <v>1.4127143087291569</v>
      </c>
      <c r="P250" s="30">
        <f t="shared" si="57"/>
        <v>1.4282134092312648</v>
      </c>
      <c r="Q250" s="30">
        <f t="shared" si="57"/>
        <v>1.6526633461321589</v>
      </c>
      <c r="R250" s="152"/>
    </row>
    <row r="251" spans="1:18" outlineLevel="1" x14ac:dyDescent="0.3">
      <c r="A251" s="152"/>
      <c r="B251" s="152"/>
      <c r="D251" s="1"/>
      <c r="E251" s="1"/>
      <c r="F251" s="1"/>
      <c r="G251" s="1"/>
      <c r="H251" s="1"/>
      <c r="I251" s="536"/>
      <c r="J251" s="542"/>
      <c r="K251" s="536"/>
      <c r="L251" s="431"/>
      <c r="M251" s="1"/>
      <c r="R251" s="152"/>
    </row>
    <row r="252" spans="1:18" outlineLevel="1" x14ac:dyDescent="0.3">
      <c r="A252" s="152"/>
      <c r="B252" s="152"/>
      <c r="C252" s="1" t="s">
        <v>105</v>
      </c>
      <c r="D252" s="1"/>
      <c r="E252" s="175" t="s">
        <v>14</v>
      </c>
      <c r="F252" s="430">
        <f>+F429</f>
        <v>22.7</v>
      </c>
      <c r="G252" s="430">
        <f t="shared" ref="G252:I252" si="58">+G429</f>
        <v>12.6</v>
      </c>
      <c r="H252" s="430">
        <f t="shared" si="58"/>
        <v>-0.1</v>
      </c>
      <c r="I252" s="538">
        <f t="shared" si="58"/>
        <v>-28</v>
      </c>
      <c r="J252" s="542"/>
      <c r="K252" s="536"/>
      <c r="L252" s="431"/>
      <c r="M252" s="428">
        <v>0</v>
      </c>
      <c r="N252" s="289">
        <f t="shared" ref="N252:Q254" si="59">+M252</f>
        <v>0</v>
      </c>
      <c r="O252" s="289">
        <f t="shared" si="59"/>
        <v>0</v>
      </c>
      <c r="P252" s="289">
        <f t="shared" si="59"/>
        <v>0</v>
      </c>
      <c r="Q252" s="289">
        <f t="shared" si="59"/>
        <v>0</v>
      </c>
      <c r="R252" s="152"/>
    </row>
    <row r="253" spans="1:18" outlineLevel="1" x14ac:dyDescent="0.3">
      <c r="A253" s="152"/>
      <c r="B253" s="152"/>
      <c r="C253" s="1" t="s">
        <v>314</v>
      </c>
      <c r="D253" s="1"/>
      <c r="E253" s="175" t="s">
        <v>14</v>
      </c>
      <c r="F253" s="430">
        <f t="shared" ref="F253:I253" si="60">+F430</f>
        <v>-0.88500000000000001</v>
      </c>
      <c r="G253" s="430">
        <f t="shared" si="60"/>
        <v>-0.93799999999999994</v>
      </c>
      <c r="H253" s="430">
        <f t="shared" si="60"/>
        <v>-0.94899999999999995</v>
      </c>
      <c r="I253" s="538">
        <f t="shared" si="60"/>
        <v>-0.95299999999999996</v>
      </c>
      <c r="J253" s="542"/>
      <c r="K253" s="536"/>
      <c r="L253" s="431"/>
      <c r="M253" s="288">
        <f>-M250</f>
        <v>-1.5120233600945143</v>
      </c>
      <c r="N253" s="289">
        <f t="shared" ref="N253:Q253" si="61">-N250</f>
        <v>-1.4798770775716241</v>
      </c>
      <c r="O253" s="289">
        <f t="shared" si="61"/>
        <v>-1.4127143087291569</v>
      </c>
      <c r="P253" s="289">
        <f t="shared" si="61"/>
        <v>-1.4282134092312648</v>
      </c>
      <c r="Q253" s="289">
        <f t="shared" si="61"/>
        <v>-1.6526633461321589</v>
      </c>
      <c r="R253" s="152"/>
    </row>
    <row r="254" spans="1:18" outlineLevel="1" x14ac:dyDescent="0.3">
      <c r="A254" s="152"/>
      <c r="B254" s="152"/>
      <c r="C254" s="1" t="s">
        <v>328</v>
      </c>
      <c r="D254" s="1"/>
      <c r="E254" s="175" t="s">
        <v>14</v>
      </c>
      <c r="F254" s="430">
        <f t="shared" ref="F254:I254" si="62">+F431</f>
        <v>3.6550000000000007</v>
      </c>
      <c r="G254" s="430">
        <f t="shared" si="62"/>
        <v>-3.367</v>
      </c>
      <c r="H254" s="430">
        <f t="shared" si="62"/>
        <v>-2.0369999999999999</v>
      </c>
      <c r="I254" s="538">
        <f t="shared" si="62"/>
        <v>-1.8690000000000002</v>
      </c>
      <c r="J254" s="542"/>
      <c r="K254" s="536"/>
      <c r="L254" s="431"/>
      <c r="M254" s="428">
        <v>0</v>
      </c>
      <c r="N254" s="289">
        <f t="shared" si="59"/>
        <v>0</v>
      </c>
      <c r="O254" s="289">
        <f t="shared" si="59"/>
        <v>0</v>
      </c>
      <c r="P254" s="289">
        <f t="shared" si="59"/>
        <v>0</v>
      </c>
      <c r="Q254" s="289">
        <f t="shared" si="59"/>
        <v>0</v>
      </c>
      <c r="R254" s="152"/>
    </row>
    <row r="255" spans="1:18" outlineLevel="1" x14ac:dyDescent="0.3">
      <c r="A255" s="152"/>
      <c r="B255" s="152"/>
      <c r="C255" s="1" t="s">
        <v>106</v>
      </c>
      <c r="D255" s="1"/>
      <c r="E255" s="175" t="s">
        <v>14</v>
      </c>
      <c r="F255" s="430">
        <f t="shared" ref="F255:I255" si="63">+F432</f>
        <v>0</v>
      </c>
      <c r="G255" s="430">
        <f t="shared" si="63"/>
        <v>-11.487</v>
      </c>
      <c r="H255" s="430">
        <f t="shared" si="63"/>
        <v>-19.846</v>
      </c>
      <c r="I255" s="538">
        <f t="shared" si="63"/>
        <v>-17.097000000000001</v>
      </c>
      <c r="J255" s="542"/>
      <c r="K255" s="536"/>
      <c r="L255" s="431"/>
      <c r="M255" s="428">
        <v>0</v>
      </c>
      <c r="N255" s="289">
        <f t="shared" ref="N255:Q255" si="64">+M255</f>
        <v>0</v>
      </c>
      <c r="O255" s="289">
        <f t="shared" si="64"/>
        <v>0</v>
      </c>
      <c r="P255" s="289">
        <f t="shared" si="64"/>
        <v>0</v>
      </c>
      <c r="Q255" s="289">
        <f t="shared" si="64"/>
        <v>0</v>
      </c>
      <c r="R255" s="152"/>
    </row>
    <row r="256" spans="1:18" outlineLevel="1" x14ac:dyDescent="0.3">
      <c r="A256" s="152"/>
      <c r="B256" s="152"/>
      <c r="C256" s="1" t="s">
        <v>107</v>
      </c>
      <c r="D256" s="1"/>
      <c r="E256" s="175" t="s">
        <v>14</v>
      </c>
      <c r="F256" s="430">
        <f t="shared" ref="F256:I256" si="65">+F433</f>
        <v>-77.632999999999996</v>
      </c>
      <c r="G256" s="430">
        <f t="shared" si="65"/>
        <v>-79.781000000000006</v>
      </c>
      <c r="H256" s="430">
        <f t="shared" si="65"/>
        <v>-14.353</v>
      </c>
      <c r="I256" s="538">
        <f t="shared" si="65"/>
        <v>-18.111999999999998</v>
      </c>
      <c r="J256" s="542"/>
      <c r="K256" s="536"/>
      <c r="L256" s="431"/>
      <c r="M256" s="428">
        <v>0</v>
      </c>
      <c r="N256" s="289">
        <f t="shared" ref="N256:Q256" si="66">+M256</f>
        <v>0</v>
      </c>
      <c r="O256" s="289">
        <f t="shared" si="66"/>
        <v>0</v>
      </c>
      <c r="P256" s="289">
        <f t="shared" si="66"/>
        <v>0</v>
      </c>
      <c r="Q256" s="289">
        <f t="shared" si="66"/>
        <v>0</v>
      </c>
      <c r="R256" s="152"/>
    </row>
    <row r="257" spans="1:24" outlineLevel="1" x14ac:dyDescent="0.3">
      <c r="A257" s="152"/>
      <c r="B257" s="152"/>
      <c r="D257" s="1"/>
      <c r="E257" s="1"/>
      <c r="F257" s="1"/>
      <c r="G257" s="1"/>
      <c r="H257" s="1"/>
      <c r="I257" s="536"/>
      <c r="J257" s="542"/>
      <c r="K257" s="536"/>
      <c r="L257" s="431"/>
      <c r="M257" s="1"/>
      <c r="R257" s="152"/>
    </row>
    <row r="258" spans="1:24" outlineLevel="1" x14ac:dyDescent="0.3">
      <c r="A258" s="152"/>
      <c r="B258" s="152"/>
      <c r="C258" s="1" t="s">
        <v>109</v>
      </c>
      <c r="D258" s="1"/>
      <c r="E258" s="175" t="s">
        <v>14</v>
      </c>
      <c r="F258" s="430">
        <f>+F436</f>
        <v>7.0000000000000007E-2</v>
      </c>
      <c r="G258" s="430">
        <f t="shared" ref="G258:I258" si="67">+G436</f>
        <v>-0.20399999999999999</v>
      </c>
      <c r="H258" s="430">
        <f t="shared" si="67"/>
        <v>5.8999999999999997E-2</v>
      </c>
      <c r="I258" s="538">
        <f t="shared" si="67"/>
        <v>-0.64100000000000001</v>
      </c>
      <c r="J258" s="542"/>
      <c r="K258" s="536"/>
      <c r="L258" s="431"/>
      <c r="M258" s="288">
        <f>AVERAGE(F258:I258)</f>
        <v>-0.17899999999999999</v>
      </c>
      <c r="N258" s="289">
        <f>+M258</f>
        <v>-0.17899999999999999</v>
      </c>
      <c r="O258" s="289">
        <f t="shared" ref="O258:Q258" si="68">+N258</f>
        <v>-0.17899999999999999</v>
      </c>
      <c r="P258" s="289">
        <f t="shared" si="68"/>
        <v>-0.17899999999999999</v>
      </c>
      <c r="Q258" s="289">
        <f t="shared" si="68"/>
        <v>-0.17899999999999999</v>
      </c>
      <c r="R258" s="152"/>
    </row>
    <row r="259" spans="1:24" x14ac:dyDescent="0.3">
      <c r="A259" s="152"/>
      <c r="B259" s="152"/>
      <c r="C259" s="240"/>
      <c r="D259" s="152"/>
      <c r="E259" s="4"/>
      <c r="F259" s="4"/>
      <c r="G259" s="4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152"/>
    </row>
    <row r="260" spans="1:24" x14ac:dyDescent="0.3">
      <c r="A260" s="152"/>
      <c r="B260" s="171"/>
      <c r="C260" s="172"/>
      <c r="D260" s="172"/>
      <c r="E260" s="169"/>
      <c r="F260" s="157" t="str">
        <f>$F$131</f>
        <v>Historical</v>
      </c>
      <c r="G260" s="158"/>
      <c r="H260" s="159"/>
      <c r="I260" s="159"/>
      <c r="J260" s="165" t="str">
        <f>$J$131</f>
        <v>Transaction Adjustments</v>
      </c>
      <c r="K260" s="166"/>
      <c r="L260" s="167"/>
      <c r="M260" s="157" t="str">
        <f>$M$131</f>
        <v>Projected</v>
      </c>
      <c r="N260" s="158"/>
      <c r="O260" s="158"/>
      <c r="P260" s="158"/>
      <c r="Q260" s="159"/>
      <c r="R260" s="152"/>
      <c r="S260" s="152"/>
      <c r="T260" s="152"/>
      <c r="U260" s="152"/>
      <c r="V260" s="152"/>
      <c r="W260" s="152"/>
      <c r="X260" s="152"/>
    </row>
    <row r="261" spans="1:24" x14ac:dyDescent="0.3">
      <c r="A261" s="152"/>
      <c r="B261" s="173" t="s">
        <v>78</v>
      </c>
      <c r="C261" s="173"/>
      <c r="D261" s="173"/>
      <c r="E261" s="170" t="str">
        <f>$E$132</f>
        <v>Units</v>
      </c>
      <c r="F261" s="160">
        <f>$F$132</f>
        <v>40543</v>
      </c>
      <c r="G261" s="161">
        <f>$G$132</f>
        <v>40908</v>
      </c>
      <c r="H261" s="161">
        <f>$H$132</f>
        <v>41274</v>
      </c>
      <c r="I261" s="162">
        <f>$I$132</f>
        <v>41639</v>
      </c>
      <c r="J261" s="164" t="str">
        <f>$J$132</f>
        <v xml:space="preserve">Debit </v>
      </c>
      <c r="K261" s="164" t="str">
        <f>$K$132</f>
        <v>Credit</v>
      </c>
      <c r="L261" s="168">
        <f>$L$132</f>
        <v>41639</v>
      </c>
      <c r="M261" s="160">
        <f>$M$132</f>
        <v>42004</v>
      </c>
      <c r="N261" s="161">
        <f>$N$132</f>
        <v>42369</v>
      </c>
      <c r="O261" s="161">
        <f>$O$132</f>
        <v>42735</v>
      </c>
      <c r="P261" s="160">
        <f>$P$132</f>
        <v>43100</v>
      </c>
      <c r="Q261" s="163">
        <f>$Q$132</f>
        <v>43465</v>
      </c>
      <c r="R261" s="152"/>
    </row>
    <row r="262" spans="1:24" outlineLevel="1" x14ac:dyDescent="0.3">
      <c r="A262" s="152"/>
      <c r="B262" s="152"/>
      <c r="C262" s="8"/>
      <c r="D262" s="152"/>
      <c r="E262" s="4"/>
      <c r="F262" s="4"/>
      <c r="G262" s="4"/>
      <c r="H262" s="11"/>
      <c r="I262" s="11"/>
      <c r="J262" s="89"/>
      <c r="K262" s="540"/>
      <c r="L262" s="97"/>
      <c r="M262" s="249"/>
      <c r="N262" s="249"/>
      <c r="O262" s="249"/>
      <c r="P262" s="249"/>
      <c r="Q262" s="249"/>
      <c r="R262" s="152"/>
    </row>
    <row r="263" spans="1:24" outlineLevel="1" x14ac:dyDescent="0.3">
      <c r="A263" s="152"/>
      <c r="B263" s="152"/>
      <c r="C263" s="7" t="s">
        <v>20</v>
      </c>
      <c r="D263" s="152"/>
      <c r="E263" s="4"/>
      <c r="F263" s="4"/>
      <c r="G263" s="4"/>
      <c r="H263" s="11"/>
      <c r="I263" s="11"/>
      <c r="J263" s="79"/>
      <c r="K263" s="11"/>
      <c r="L263" s="81"/>
      <c r="M263" s="249"/>
      <c r="N263" s="249"/>
      <c r="O263" s="249"/>
      <c r="P263" s="249"/>
      <c r="Q263" s="249"/>
      <c r="R263" s="152"/>
    </row>
    <row r="264" spans="1:24" outlineLevel="1" x14ac:dyDescent="0.3">
      <c r="A264" s="152"/>
      <c r="B264" s="152"/>
      <c r="C264" s="240" t="s">
        <v>303</v>
      </c>
      <c r="D264" s="152"/>
      <c r="E264" s="175" t="s">
        <v>14</v>
      </c>
      <c r="F264" s="28">
        <v>398.24099999999999</v>
      </c>
      <c r="G264" s="28">
        <v>388.90800000000002</v>
      </c>
      <c r="H264" s="28">
        <v>372.94799999999998</v>
      </c>
      <c r="I264" s="28">
        <v>368.584</v>
      </c>
      <c r="J264" s="83"/>
      <c r="K264" s="28"/>
      <c r="L264" s="86"/>
      <c r="M264" s="287">
        <f>+M$161*M163</f>
        <v>377.97019362101128</v>
      </c>
      <c r="N264" s="287">
        <f t="shared" ref="N264:Q264" si="69">+N$161*N163</f>
        <v>384.14009059563614</v>
      </c>
      <c r="O264" s="287">
        <f t="shared" si="69"/>
        <v>390.23731129527403</v>
      </c>
      <c r="P264" s="287">
        <f t="shared" si="69"/>
        <v>396.2587886134603</v>
      </c>
      <c r="Q264" s="287">
        <f t="shared" si="69"/>
        <v>402.2013728604415</v>
      </c>
      <c r="R264" s="152"/>
    </row>
    <row r="265" spans="1:24" outlineLevel="1" x14ac:dyDescent="0.3">
      <c r="A265" s="152"/>
      <c r="B265" s="152"/>
      <c r="C265" s="240" t="s">
        <v>302</v>
      </c>
      <c r="D265" s="152"/>
      <c r="E265" s="175" t="s">
        <v>14</v>
      </c>
      <c r="F265" s="29">
        <v>414.892</v>
      </c>
      <c r="G265" s="29">
        <v>426.98599999999999</v>
      </c>
      <c r="H265" s="29">
        <v>425.98899999999998</v>
      </c>
      <c r="I265" s="29">
        <v>448.15499999999997</v>
      </c>
      <c r="J265" s="84"/>
      <c r="K265" s="29"/>
      <c r="L265" s="87"/>
      <c r="M265" s="278">
        <f t="shared" ref="M265:Q265" si="70">+M$161*M164</f>
        <v>461.96356998123605</v>
      </c>
      <c r="N265" s="278">
        <f t="shared" si="70"/>
        <v>479.09606804624275</v>
      </c>
      <c r="O265" s="278">
        <f t="shared" si="70"/>
        <v>496.66566892125792</v>
      </c>
      <c r="P265" s="278">
        <f t="shared" si="70"/>
        <v>514.68095532552888</v>
      </c>
      <c r="Q265" s="278">
        <f t="shared" si="70"/>
        <v>533.15065704756205</v>
      </c>
      <c r="R265" s="152"/>
    </row>
    <row r="266" spans="1:24" outlineLevel="1" x14ac:dyDescent="0.3">
      <c r="A266" s="152"/>
      <c r="B266" s="152"/>
      <c r="C266" s="243" t="s">
        <v>19</v>
      </c>
      <c r="D266" s="244"/>
      <c r="E266" s="178" t="s">
        <v>14</v>
      </c>
      <c r="F266" s="29">
        <v>4.1150000000000002</v>
      </c>
      <c r="G266" s="29">
        <v>5.2839999999999998</v>
      </c>
      <c r="H266" s="29">
        <v>4.5430000000000001</v>
      </c>
      <c r="I266" s="29">
        <v>4.9820000000000002</v>
      </c>
      <c r="J266" s="84"/>
      <c r="K266" s="29"/>
      <c r="L266" s="87"/>
      <c r="M266" s="430">
        <f>+M166</f>
        <v>4.7309999999999999</v>
      </c>
      <c r="N266" s="430">
        <f t="shared" ref="N266:Q266" si="71">+N166</f>
        <v>4.7309999999999999</v>
      </c>
      <c r="O266" s="430">
        <f t="shared" si="71"/>
        <v>4.7309999999999999</v>
      </c>
      <c r="P266" s="430">
        <f t="shared" si="71"/>
        <v>4.7309999999999999</v>
      </c>
      <c r="Q266" s="430">
        <f t="shared" si="71"/>
        <v>4.7309999999999999</v>
      </c>
      <c r="R266" s="152"/>
    </row>
    <row r="267" spans="1:24" outlineLevel="1" x14ac:dyDescent="0.3">
      <c r="A267" s="152"/>
      <c r="B267" s="152"/>
      <c r="C267" s="22" t="s">
        <v>18</v>
      </c>
      <c r="D267" s="152"/>
      <c r="E267" s="175" t="s">
        <v>14</v>
      </c>
      <c r="F267" s="30">
        <f>SUM(F264:F266)</f>
        <v>817.24800000000005</v>
      </c>
      <c r="G267" s="30">
        <f>SUM(G264:G266)</f>
        <v>821.178</v>
      </c>
      <c r="H267" s="30">
        <f t="shared" ref="H267:I267" si="72">SUM(H264:H266)</f>
        <v>803.4799999999999</v>
      </c>
      <c r="I267" s="30">
        <f t="shared" si="72"/>
        <v>821.721</v>
      </c>
      <c r="J267" s="90"/>
      <c r="K267" s="30"/>
      <c r="L267" s="98"/>
      <c r="M267" s="31">
        <f>SUM(M264:M266)</f>
        <v>844.66476360224738</v>
      </c>
      <c r="N267" s="31">
        <f t="shared" ref="N267:Q267" si="73">SUM(N264:N266)</f>
        <v>867.96715864187888</v>
      </c>
      <c r="O267" s="31">
        <f t="shared" si="73"/>
        <v>891.63398021653188</v>
      </c>
      <c r="P267" s="31">
        <f t="shared" si="73"/>
        <v>915.67074393898918</v>
      </c>
      <c r="Q267" s="31">
        <f t="shared" si="73"/>
        <v>940.08302990800348</v>
      </c>
      <c r="R267" s="152"/>
    </row>
    <row r="268" spans="1:24" outlineLevel="1" x14ac:dyDescent="0.3">
      <c r="A268" s="152"/>
      <c r="B268" s="152"/>
      <c r="C268" s="55" t="s">
        <v>32</v>
      </c>
      <c r="D268" s="152"/>
      <c r="E268" s="175" t="s">
        <v>28</v>
      </c>
      <c r="F268" s="17">
        <f>+F267/813.346-1</f>
        <v>4.7974662689680425E-3</v>
      </c>
      <c r="G268" s="17">
        <f t="shared" ref="G268:H268" si="74">+G267/F267-1</f>
        <v>4.8088218019499696E-3</v>
      </c>
      <c r="H268" s="17">
        <f t="shared" si="74"/>
        <v>-2.1551965590895117E-2</v>
      </c>
      <c r="I268" s="17">
        <f t="shared" ref="I268" si="75">+I267/H267-1</f>
        <v>2.2702494150445673E-2</v>
      </c>
      <c r="J268" s="64"/>
      <c r="K268" s="17"/>
      <c r="L268" s="73"/>
      <c r="M268" s="17">
        <f>+M267/I267-1</f>
        <v>2.7921598209425635E-2</v>
      </c>
      <c r="N268" s="17">
        <f>+N267/M267-1</f>
        <v>2.7587743734275971E-2</v>
      </c>
      <c r="O268" s="17">
        <f t="shared" ref="O268:Q268" si="76">+O267/N267-1</f>
        <v>2.7266955136511006E-2</v>
      </c>
      <c r="P268" s="17">
        <f t="shared" si="76"/>
        <v>2.69581064156168E-2</v>
      </c>
      <c r="Q268" s="17">
        <f t="shared" si="76"/>
        <v>2.6660550345857681E-2</v>
      </c>
      <c r="R268" s="152"/>
    </row>
    <row r="269" spans="1:24" outlineLevel="1" x14ac:dyDescent="0.3">
      <c r="A269" s="152"/>
      <c r="B269" s="152"/>
      <c r="C269" s="7"/>
      <c r="D269" s="152"/>
      <c r="E269" s="361"/>
      <c r="F269" s="19"/>
      <c r="G269" s="19"/>
      <c r="H269" s="20"/>
      <c r="I269" s="20"/>
      <c r="J269" s="91"/>
      <c r="K269" s="20"/>
      <c r="L269" s="99"/>
      <c r="M269" s="20"/>
      <c r="N269" s="20"/>
      <c r="O269" s="20"/>
      <c r="P269" s="20"/>
      <c r="Q269" s="20"/>
      <c r="R269" s="152"/>
    </row>
    <row r="270" spans="1:24" outlineLevel="1" x14ac:dyDescent="0.3">
      <c r="A270" s="152"/>
      <c r="B270" s="152"/>
      <c r="C270" s="7" t="s">
        <v>17</v>
      </c>
      <c r="D270" s="152"/>
      <c r="E270" s="175"/>
      <c r="F270" s="4"/>
      <c r="G270" s="4"/>
      <c r="H270" s="249"/>
      <c r="I270" s="249"/>
      <c r="J270" s="253"/>
      <c r="K270" s="249"/>
      <c r="L270" s="254"/>
      <c r="M270" s="249"/>
      <c r="N270" s="249"/>
      <c r="O270" s="249"/>
      <c r="P270" s="249"/>
      <c r="Q270" s="249"/>
      <c r="R270" s="152"/>
    </row>
    <row r="271" spans="1:24" outlineLevel="1" x14ac:dyDescent="0.3">
      <c r="A271" s="152"/>
      <c r="B271" s="152"/>
      <c r="C271" s="240" t="s">
        <v>23</v>
      </c>
      <c r="D271" s="152"/>
      <c r="E271" s="175" t="s">
        <v>14</v>
      </c>
      <c r="F271" s="29">
        <v>90.649000000000001</v>
      </c>
      <c r="G271" s="29">
        <v>95.989000000000004</v>
      </c>
      <c r="H271" s="29">
        <v>93.417000000000002</v>
      </c>
      <c r="I271" s="29">
        <v>90.363</v>
      </c>
      <c r="J271" s="84"/>
      <c r="K271" s="29"/>
      <c r="L271" s="87"/>
      <c r="M271" s="278">
        <f>+M174</f>
        <v>91.665842675200992</v>
      </c>
      <c r="N271" s="278">
        <f t="shared" ref="N271:Q271" si="77">+N174</f>
        <v>93.162174436126179</v>
      </c>
      <c r="O271" s="278">
        <f t="shared" si="77"/>
        <v>94.640880648525027</v>
      </c>
      <c r="P271" s="278">
        <f t="shared" si="77"/>
        <v>96.101217473588562</v>
      </c>
      <c r="Q271" s="278">
        <f t="shared" si="77"/>
        <v>97.542421044296859</v>
      </c>
      <c r="R271" s="152"/>
    </row>
    <row r="272" spans="1:24" outlineLevel="1" x14ac:dyDescent="0.3">
      <c r="A272" s="152"/>
      <c r="B272" s="152"/>
      <c r="C272" s="240" t="s">
        <v>436</v>
      </c>
      <c r="D272" s="244"/>
      <c r="E272" s="175" t="s">
        <v>14</v>
      </c>
      <c r="F272" s="29">
        <v>34.232999999999997</v>
      </c>
      <c r="G272" s="29">
        <v>32.362000000000002</v>
      </c>
      <c r="H272" s="29">
        <v>30.855</v>
      </c>
      <c r="I272" s="29">
        <v>29.774999999999999</v>
      </c>
      <c r="J272" s="84"/>
      <c r="K272" s="29"/>
      <c r="L272" s="87"/>
      <c r="M272" s="278">
        <f t="shared" ref="M272:Q272" si="78">+M175</f>
        <v>29.565668478799108</v>
      </c>
      <c r="N272" s="278">
        <f t="shared" si="78"/>
        <v>29.703956218867049</v>
      </c>
      <c r="O272" s="278">
        <f t="shared" si="78"/>
        <v>29.799940135275474</v>
      </c>
      <c r="P272" s="278">
        <f t="shared" si="78"/>
        <v>30.880857319531732</v>
      </c>
      <c r="Q272" s="278">
        <f t="shared" si="78"/>
        <v>31.989039422853722</v>
      </c>
      <c r="R272" s="152"/>
    </row>
    <row r="273" spans="1:29" outlineLevel="1" x14ac:dyDescent="0.3">
      <c r="A273" s="152"/>
      <c r="B273" s="152"/>
      <c r="C273" s="21" t="s">
        <v>21</v>
      </c>
      <c r="D273" s="152"/>
      <c r="E273" s="177" t="s">
        <v>14</v>
      </c>
      <c r="F273" s="30">
        <f>SUM(F271:F272)</f>
        <v>124.88200000000001</v>
      </c>
      <c r="G273" s="30">
        <f>SUM(G271:G272)</f>
        <v>128.351</v>
      </c>
      <c r="H273" s="30">
        <f t="shared" ref="H273:I273" si="79">SUM(H271:H272)</f>
        <v>124.27200000000001</v>
      </c>
      <c r="I273" s="30">
        <f t="shared" si="79"/>
        <v>120.13800000000001</v>
      </c>
      <c r="J273" s="90"/>
      <c r="K273" s="30"/>
      <c r="L273" s="98"/>
      <c r="M273" s="31">
        <f>SUM(M271:M272)</f>
        <v>121.2315111540001</v>
      </c>
      <c r="N273" s="31">
        <f t="shared" ref="N273:Q273" si="80">SUM(N271:N272)</f>
        <v>122.86613065499323</v>
      </c>
      <c r="O273" s="31">
        <f t="shared" si="80"/>
        <v>124.4408207838005</v>
      </c>
      <c r="P273" s="31">
        <f t="shared" si="80"/>
        <v>126.98207479312029</v>
      </c>
      <c r="Q273" s="31">
        <f t="shared" si="80"/>
        <v>129.53146046715057</v>
      </c>
      <c r="R273" s="152"/>
    </row>
    <row r="274" spans="1:29" outlineLevel="1" x14ac:dyDescent="0.3">
      <c r="A274" s="152"/>
      <c r="B274" s="152"/>
      <c r="C274" s="22"/>
      <c r="D274" s="152"/>
      <c r="E274" s="175"/>
      <c r="F274" s="23"/>
      <c r="G274" s="23"/>
      <c r="H274" s="23"/>
      <c r="I274" s="23"/>
      <c r="J274" s="92"/>
      <c r="K274" s="23"/>
      <c r="L274" s="100"/>
      <c r="M274" s="249"/>
      <c r="N274" s="249"/>
      <c r="O274" s="249"/>
      <c r="P274" s="249"/>
      <c r="Q274" s="249"/>
      <c r="R274" s="152"/>
    </row>
    <row r="275" spans="1:29" outlineLevel="1" x14ac:dyDescent="0.3">
      <c r="A275" s="152"/>
      <c r="B275" s="152"/>
      <c r="C275" s="7" t="s">
        <v>22</v>
      </c>
      <c r="D275" s="152"/>
      <c r="E275" s="175" t="s">
        <v>14</v>
      </c>
      <c r="F275" s="32">
        <f t="shared" ref="F275" si="81">+F267-F273</f>
        <v>692.36599999999999</v>
      </c>
      <c r="G275" s="32">
        <f t="shared" ref="G275:I275" si="82">+G267-G273</f>
        <v>692.827</v>
      </c>
      <c r="H275" s="32">
        <f t="shared" si="82"/>
        <v>679.20799999999986</v>
      </c>
      <c r="I275" s="32">
        <f t="shared" si="82"/>
        <v>701.58299999999997</v>
      </c>
      <c r="J275" s="93"/>
      <c r="K275" s="32"/>
      <c r="L275" s="101"/>
      <c r="M275" s="32">
        <f>+M267-M273</f>
        <v>723.43325244824723</v>
      </c>
      <c r="N275" s="32">
        <f t="shared" ref="N275:Q275" si="83">+N267-N273</f>
        <v>745.1010279868857</v>
      </c>
      <c r="O275" s="32">
        <f t="shared" si="83"/>
        <v>767.19315943273136</v>
      </c>
      <c r="P275" s="32">
        <f t="shared" si="83"/>
        <v>788.68866914586886</v>
      </c>
      <c r="Q275" s="32">
        <f t="shared" si="83"/>
        <v>810.55156944085297</v>
      </c>
      <c r="R275" s="152"/>
    </row>
    <row r="276" spans="1:29" outlineLevel="1" x14ac:dyDescent="0.3">
      <c r="A276" s="152"/>
      <c r="B276" s="152"/>
      <c r="C276" s="12" t="s">
        <v>25</v>
      </c>
      <c r="D276" s="152"/>
      <c r="E276" s="175" t="s">
        <v>28</v>
      </c>
      <c r="F276" s="17">
        <f t="shared" ref="F276:I276" si="84">+F275/F267</f>
        <v>0.84719203962567047</v>
      </c>
      <c r="G276" s="17">
        <f t="shared" si="84"/>
        <v>0.84369893007362595</v>
      </c>
      <c r="H276" s="17">
        <f t="shared" si="84"/>
        <v>0.84533280230995167</v>
      </c>
      <c r="I276" s="17">
        <f t="shared" si="84"/>
        <v>0.85379709171361073</v>
      </c>
      <c r="J276" s="64"/>
      <c r="K276" s="17"/>
      <c r="L276" s="73"/>
      <c r="M276" s="17">
        <f>+M275/M267</f>
        <v>0.85647381496419561</v>
      </c>
      <c r="N276" s="17">
        <f t="shared" ref="N276:Q276" si="85">+N275/N267</f>
        <v>0.85844380235855511</v>
      </c>
      <c r="O276" s="17">
        <f t="shared" si="85"/>
        <v>0.86043508486118903</v>
      </c>
      <c r="P276" s="17">
        <f t="shared" si="85"/>
        <v>0.86132343352275864</v>
      </c>
      <c r="Q276" s="17">
        <f t="shared" si="85"/>
        <v>0.86221274467657771</v>
      </c>
      <c r="R276" s="152"/>
    </row>
    <row r="277" spans="1:29" outlineLevel="1" x14ac:dyDescent="0.3">
      <c r="A277" s="152"/>
      <c r="B277" s="152"/>
      <c r="C277" s="222"/>
      <c r="D277" s="152"/>
      <c r="E277" s="4"/>
      <c r="F277" s="4"/>
      <c r="G277" s="4"/>
      <c r="H277" s="11"/>
      <c r="I277" s="11"/>
      <c r="J277" s="79"/>
      <c r="K277" s="11"/>
      <c r="L277" s="81"/>
      <c r="M277" s="249"/>
      <c r="N277" s="249"/>
      <c r="O277" s="249"/>
      <c r="P277" s="249"/>
      <c r="Q277" s="249"/>
      <c r="R277" s="152"/>
    </row>
    <row r="278" spans="1:29" outlineLevel="1" x14ac:dyDescent="0.3">
      <c r="A278" s="152"/>
      <c r="B278" s="152"/>
      <c r="C278" s="7" t="s">
        <v>44</v>
      </c>
      <c r="D278" s="152"/>
      <c r="E278" s="4"/>
      <c r="F278" s="4"/>
      <c r="G278" s="4"/>
      <c r="H278" s="11"/>
      <c r="I278" s="11"/>
      <c r="J278" s="79"/>
      <c r="K278" s="11"/>
      <c r="L278" s="81"/>
      <c r="M278" s="249"/>
      <c r="N278" s="249"/>
      <c r="O278" s="249"/>
      <c r="P278" s="249"/>
      <c r="Q278" s="249"/>
      <c r="R278" s="152"/>
    </row>
    <row r="279" spans="1:29" outlineLevel="1" x14ac:dyDescent="0.3">
      <c r="A279" s="152"/>
      <c r="B279" s="152"/>
      <c r="C279" s="59" t="s">
        <v>316</v>
      </c>
      <c r="D279" s="152"/>
      <c r="E279" s="4"/>
      <c r="F279" s="4"/>
      <c r="G279" s="4"/>
      <c r="H279" s="11"/>
      <c r="I279" s="11"/>
      <c r="J279" s="79"/>
      <c r="K279" s="11"/>
      <c r="L279" s="81"/>
      <c r="M279" s="249"/>
      <c r="N279" s="249"/>
      <c r="O279" s="249"/>
      <c r="P279" s="249"/>
      <c r="Q279" s="249"/>
      <c r="R279" s="152"/>
    </row>
    <row r="280" spans="1:29" outlineLevel="1" x14ac:dyDescent="0.3">
      <c r="A280" s="152"/>
      <c r="B280" s="152"/>
      <c r="C280" s="240" t="s">
        <v>29</v>
      </c>
      <c r="D280" s="152"/>
      <c r="E280" s="175" t="s">
        <v>14</v>
      </c>
      <c r="F280" s="29">
        <v>222.33699999999999</v>
      </c>
      <c r="G280" s="29">
        <v>222.596</v>
      </c>
      <c r="H280" s="29">
        <v>223.60499999999999</v>
      </c>
      <c r="I280" s="29">
        <v>229.172</v>
      </c>
      <c r="J280" s="84"/>
      <c r="K280" s="29"/>
      <c r="L280" s="87"/>
      <c r="M280" s="278">
        <f t="shared" ref="M280:Q282" si="86">+M181*M$143/Units</f>
        <v>232.96757263312068</v>
      </c>
      <c r="N280" s="278">
        <f t="shared" si="86"/>
        <v>237.34666234426953</v>
      </c>
      <c r="O280" s="278">
        <f t="shared" si="86"/>
        <v>241.72575205541841</v>
      </c>
      <c r="P280" s="278">
        <f t="shared" si="86"/>
        <v>246.10484176656732</v>
      </c>
      <c r="Q280" s="278">
        <f t="shared" si="86"/>
        <v>250.4839314777162</v>
      </c>
      <c r="R280" s="152"/>
    </row>
    <row r="281" spans="1:29" outlineLevel="1" x14ac:dyDescent="0.3">
      <c r="A281" s="152"/>
      <c r="B281" s="152"/>
      <c r="C281" s="240" t="s">
        <v>31</v>
      </c>
      <c r="D281" s="152"/>
      <c r="E281" s="175" t="s">
        <v>14</v>
      </c>
      <c r="F281" s="29">
        <v>70.424999999999997</v>
      </c>
      <c r="G281" s="29">
        <v>74.992000000000004</v>
      </c>
      <c r="H281" s="29">
        <v>75.311999999999998</v>
      </c>
      <c r="I281" s="29">
        <v>78.462999999999994</v>
      </c>
      <c r="J281" s="84"/>
      <c r="K281" s="29"/>
      <c r="L281" s="87"/>
      <c r="M281" s="278">
        <f t="shared" si="86"/>
        <v>133.08369009536244</v>
      </c>
      <c r="N281" s="278">
        <f t="shared" si="86"/>
        <v>135.58526321745572</v>
      </c>
      <c r="O281" s="278">
        <f t="shared" si="86"/>
        <v>138.086836339549</v>
      </c>
      <c r="P281" s="278">
        <f t="shared" si="86"/>
        <v>140.58840946164227</v>
      </c>
      <c r="Q281" s="278">
        <f t="shared" si="86"/>
        <v>143.08998258373555</v>
      </c>
      <c r="R281" s="152"/>
      <c r="S281" s="222"/>
      <c r="T281" s="222"/>
      <c r="U281" s="222"/>
      <c r="V281" s="222"/>
      <c r="W281" s="222"/>
      <c r="X281" s="222"/>
      <c r="Y281" s="222"/>
      <c r="Z281" s="222"/>
      <c r="AA281" s="222"/>
      <c r="AB281" s="222"/>
      <c r="AC281" s="152"/>
    </row>
    <row r="282" spans="1:29" outlineLevel="1" x14ac:dyDescent="0.3">
      <c r="A282" s="152"/>
      <c r="B282" s="152"/>
      <c r="C282" s="240" t="s">
        <v>33</v>
      </c>
      <c r="D282" s="152"/>
      <c r="E282" s="175" t="s">
        <v>14</v>
      </c>
      <c r="F282" s="29">
        <v>128.07499999999999</v>
      </c>
      <c r="G282" s="29">
        <v>126.84699999999999</v>
      </c>
      <c r="H282" s="29">
        <v>126.855</v>
      </c>
      <c r="I282" s="29">
        <v>131.035</v>
      </c>
      <c r="J282" s="84"/>
      <c r="K282" s="29"/>
      <c r="L282" s="87"/>
      <c r="M282" s="278">
        <f t="shared" si="86"/>
        <v>80.331999999999994</v>
      </c>
      <c r="N282" s="278">
        <f t="shared" si="86"/>
        <v>82.384</v>
      </c>
      <c r="O282" s="278">
        <f t="shared" si="86"/>
        <v>83.903999999999996</v>
      </c>
      <c r="P282" s="278">
        <f t="shared" si="86"/>
        <v>85.986000000000004</v>
      </c>
      <c r="Q282" s="278">
        <f t="shared" si="86"/>
        <v>87.516000000000005</v>
      </c>
      <c r="R282" s="15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2"/>
      <c r="AC282" s="152"/>
    </row>
    <row r="283" spans="1:29" outlineLevel="1" x14ac:dyDescent="0.3">
      <c r="A283" s="152"/>
      <c r="B283" s="152"/>
      <c r="C283" s="243" t="s">
        <v>30</v>
      </c>
      <c r="D283" s="244"/>
      <c r="E283" s="178" t="s">
        <v>14</v>
      </c>
      <c r="F283" s="109">
        <v>79.715999999999994</v>
      </c>
      <c r="G283" s="109">
        <v>80.825999999999993</v>
      </c>
      <c r="H283" s="109">
        <v>78.769000000000005</v>
      </c>
      <c r="I283" s="109">
        <v>78.167000000000002</v>
      </c>
      <c r="J283" s="120"/>
      <c r="K283" s="109"/>
      <c r="L283" s="110"/>
      <c r="M283" s="291">
        <f>+M222</f>
        <v>78.963372499010305</v>
      </c>
      <c r="N283" s="291">
        <f t="shared" ref="N283:Q283" si="87">+N222</f>
        <v>83.922791579342402</v>
      </c>
      <c r="O283" s="291">
        <f t="shared" si="87"/>
        <v>89.436708093512323</v>
      </c>
      <c r="P283" s="291">
        <f t="shared" si="87"/>
        <v>95.744160092722325</v>
      </c>
      <c r="Q283" s="291">
        <f t="shared" si="87"/>
        <v>102.65291608584405</v>
      </c>
      <c r="R283" s="15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2"/>
      <c r="AC283" s="152"/>
    </row>
    <row r="284" spans="1:29" outlineLevel="1" x14ac:dyDescent="0.3">
      <c r="A284" s="152"/>
      <c r="B284" s="152"/>
      <c r="C284" s="305" t="s">
        <v>184</v>
      </c>
      <c r="D284" s="292"/>
      <c r="E284" s="339" t="s">
        <v>14</v>
      </c>
      <c r="F284" s="111">
        <v>0</v>
      </c>
      <c r="G284" s="111">
        <v>0</v>
      </c>
      <c r="H284" s="111">
        <v>0</v>
      </c>
      <c r="I284" s="111">
        <v>0</v>
      </c>
      <c r="J284" s="131"/>
      <c r="K284" s="111"/>
      <c r="L284" s="112"/>
      <c r="M284" s="293"/>
      <c r="N284" s="294"/>
      <c r="O284" s="294"/>
      <c r="P284" s="294"/>
      <c r="Q284" s="294"/>
      <c r="R284" s="152"/>
      <c r="S284" s="222"/>
      <c r="T284" s="222"/>
      <c r="U284" s="222"/>
      <c r="V284" s="222"/>
      <c r="W284" s="222"/>
      <c r="X284" s="222"/>
      <c r="Y284" s="222"/>
      <c r="Z284" s="222"/>
      <c r="AA284" s="222"/>
      <c r="AB284" s="222"/>
      <c r="AC284" s="152"/>
    </row>
    <row r="285" spans="1:29" outlineLevel="1" x14ac:dyDescent="0.3">
      <c r="A285" s="152"/>
      <c r="B285" s="152"/>
      <c r="C285" s="307" t="s">
        <v>185</v>
      </c>
      <c r="D285" s="362"/>
      <c r="E285" s="339" t="s">
        <v>14</v>
      </c>
      <c r="F285" s="111">
        <v>0</v>
      </c>
      <c r="G285" s="111">
        <v>0</v>
      </c>
      <c r="H285" s="111">
        <v>0</v>
      </c>
      <c r="I285" s="111">
        <v>0</v>
      </c>
      <c r="J285" s="131"/>
      <c r="K285" s="111"/>
      <c r="L285" s="112"/>
      <c r="M285" s="293"/>
      <c r="N285" s="294"/>
      <c r="O285" s="294"/>
      <c r="P285" s="294"/>
      <c r="Q285" s="294"/>
      <c r="R285" s="15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2"/>
      <c r="AC285" s="152"/>
    </row>
    <row r="286" spans="1:29" outlineLevel="1" x14ac:dyDescent="0.3">
      <c r="A286" s="152"/>
      <c r="B286" s="152"/>
      <c r="C286" s="59" t="s">
        <v>36</v>
      </c>
      <c r="D286" s="152"/>
      <c r="E286" s="177" t="s">
        <v>14</v>
      </c>
      <c r="F286" s="30">
        <f>SUM(F280:F285)</f>
        <v>500.553</v>
      </c>
      <c r="G286" s="30">
        <f t="shared" ref="G286:I286" si="88">SUM(G280:G285)</f>
        <v>505.26099999999997</v>
      </c>
      <c r="H286" s="30">
        <f t="shared" si="88"/>
        <v>504.541</v>
      </c>
      <c r="I286" s="30">
        <f t="shared" si="88"/>
        <v>516.83699999999999</v>
      </c>
      <c r="J286" s="90"/>
      <c r="K286" s="30"/>
      <c r="L286" s="98"/>
      <c r="M286" s="30">
        <f t="shared" ref="M286:Q286" si="89">SUM(M280:M285)</f>
        <v>525.34663522749349</v>
      </c>
      <c r="N286" s="30">
        <f t="shared" si="89"/>
        <v>539.2387171410677</v>
      </c>
      <c r="O286" s="30">
        <f t="shared" si="89"/>
        <v>553.15329648847978</v>
      </c>
      <c r="P286" s="30">
        <f t="shared" si="89"/>
        <v>568.4234113209319</v>
      </c>
      <c r="Q286" s="30">
        <f t="shared" si="89"/>
        <v>583.74283014729588</v>
      </c>
      <c r="R286" s="152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</row>
    <row r="287" spans="1:29" outlineLevel="1" x14ac:dyDescent="0.3">
      <c r="A287" s="152"/>
      <c r="B287" s="152"/>
      <c r="C287" s="22"/>
      <c r="D287" s="152"/>
      <c r="E287" s="175"/>
      <c r="F287" s="32"/>
      <c r="G287" s="32"/>
      <c r="H287" s="32"/>
      <c r="I287" s="32"/>
      <c r="J287" s="93"/>
      <c r="K287" s="32"/>
      <c r="L287" s="101"/>
      <c r="M287" s="32"/>
      <c r="N287" s="32"/>
      <c r="O287" s="32"/>
      <c r="P287" s="32"/>
      <c r="Q287" s="32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</row>
    <row r="288" spans="1:29" outlineLevel="1" x14ac:dyDescent="0.3">
      <c r="A288" s="152"/>
      <c r="B288" s="152"/>
      <c r="C288" s="59" t="s">
        <v>34</v>
      </c>
      <c r="D288" s="152"/>
      <c r="E288" s="4"/>
      <c r="F288" s="4"/>
      <c r="G288" s="4"/>
      <c r="H288" s="11"/>
      <c r="I288" s="11"/>
      <c r="J288" s="79"/>
      <c r="K288" s="11"/>
      <c r="L288" s="81"/>
      <c r="M288" s="249"/>
      <c r="N288" s="249"/>
      <c r="O288" s="249"/>
      <c r="P288" s="249"/>
      <c r="Q288" s="249"/>
      <c r="R288" s="152"/>
      <c r="S288" s="152"/>
      <c r="T288" s="152"/>
      <c r="U288" s="152"/>
      <c r="V288" s="152"/>
      <c r="W288" s="152"/>
      <c r="X288" s="152"/>
      <c r="Y288" s="152"/>
      <c r="Z288" s="152"/>
      <c r="AA288" s="152"/>
      <c r="AB288" s="152"/>
    </row>
    <row r="289" spans="1:28" outlineLevel="1" x14ac:dyDescent="0.3">
      <c r="A289" s="152"/>
      <c r="B289" s="152"/>
      <c r="C289" s="240" t="s">
        <v>298</v>
      </c>
      <c r="D289" s="152"/>
      <c r="E289" s="175" t="s">
        <v>14</v>
      </c>
      <c r="F289" s="29">
        <v>35.281999999999996</v>
      </c>
      <c r="G289" s="29">
        <v>34.988999999999997</v>
      </c>
      <c r="H289" s="29">
        <v>35.406999999999996</v>
      </c>
      <c r="I289" s="29">
        <v>41.216999999999999</v>
      </c>
      <c r="J289" s="84"/>
      <c r="K289" s="29"/>
      <c r="L289" s="87"/>
      <c r="M289" s="278">
        <f>+M185*M$267</f>
        <v>42.233238180112373</v>
      </c>
      <c r="N289" s="278">
        <f t="shared" ref="N289:Q289" si="90">+N185*N$267</f>
        <v>44.266325090735819</v>
      </c>
      <c r="O289" s="278">
        <f t="shared" si="90"/>
        <v>47.256600951476187</v>
      </c>
      <c r="P289" s="278">
        <f t="shared" si="90"/>
        <v>50.361890916644406</v>
      </c>
      <c r="Q289" s="278">
        <f t="shared" si="90"/>
        <v>51.704566644940193</v>
      </c>
      <c r="R289" s="152"/>
      <c r="S289" s="152"/>
      <c r="T289" s="152"/>
      <c r="U289" s="152"/>
      <c r="V289" s="152"/>
      <c r="W289" s="152"/>
      <c r="X289" s="152"/>
      <c r="Y289" s="152"/>
      <c r="Z289" s="152"/>
      <c r="AA289" s="152"/>
      <c r="AB289" s="152"/>
    </row>
    <row r="290" spans="1:28" outlineLevel="1" x14ac:dyDescent="0.3">
      <c r="A290" s="152"/>
      <c r="B290" s="152"/>
      <c r="C290" s="240" t="s">
        <v>297</v>
      </c>
      <c r="D290" s="152"/>
      <c r="E290" s="175" t="s">
        <v>14</v>
      </c>
      <c r="F290" s="29">
        <v>50.692999999999998</v>
      </c>
      <c r="G290" s="29">
        <v>51.859000000000002</v>
      </c>
      <c r="H290" s="29">
        <v>53.436999999999998</v>
      </c>
      <c r="I290" s="29">
        <v>57.006999999999998</v>
      </c>
      <c r="J290" s="84"/>
      <c r="K290" s="29"/>
      <c r="L290" s="87"/>
      <c r="M290" s="278">
        <f t="shared" ref="M290:Q290" si="91">+M186*M$267</f>
        <v>58.281868688555072</v>
      </c>
      <c r="N290" s="278">
        <f t="shared" si="91"/>
        <v>61.625668263573395</v>
      </c>
      <c r="O290" s="278">
        <f t="shared" si="91"/>
        <v>63.306012595373758</v>
      </c>
      <c r="P290" s="278">
        <f t="shared" si="91"/>
        <v>65.012622819668223</v>
      </c>
      <c r="Q290" s="278">
        <f t="shared" si="91"/>
        <v>66.745895123468244</v>
      </c>
      <c r="R290" s="152"/>
      <c r="S290" s="152"/>
      <c r="T290" s="152"/>
      <c r="U290" s="152"/>
      <c r="V290" s="152"/>
      <c r="W290" s="152"/>
      <c r="X290" s="152"/>
      <c r="Y290" s="152"/>
      <c r="Z290" s="152"/>
      <c r="AA290" s="152"/>
      <c r="AB290" s="152"/>
    </row>
    <row r="291" spans="1:28" outlineLevel="1" x14ac:dyDescent="0.3">
      <c r="A291" s="152"/>
      <c r="B291" s="152"/>
      <c r="C291" s="240" t="s">
        <v>35</v>
      </c>
      <c r="D291" s="222"/>
      <c r="E291" s="175" t="s">
        <v>14</v>
      </c>
      <c r="F291" s="29">
        <v>0.93600000000000005</v>
      </c>
      <c r="G291" s="29">
        <v>2.7389999999999999</v>
      </c>
      <c r="H291" s="29">
        <v>6.7519999999999998</v>
      </c>
      <c r="I291" s="29">
        <v>3.0510000000000002</v>
      </c>
      <c r="J291" s="84"/>
      <c r="K291" s="29"/>
      <c r="L291" s="87"/>
      <c r="M291" s="398">
        <f>+M188</f>
        <v>0</v>
      </c>
      <c r="N291" s="398">
        <f t="shared" ref="N291:Q291" si="92">+N188</f>
        <v>0</v>
      </c>
      <c r="O291" s="398">
        <f t="shared" si="92"/>
        <v>0</v>
      </c>
      <c r="P291" s="398">
        <f t="shared" si="92"/>
        <v>0</v>
      </c>
      <c r="Q291" s="398">
        <f t="shared" si="92"/>
        <v>0</v>
      </c>
      <c r="R291" s="152"/>
      <c r="S291" s="152"/>
      <c r="T291" s="152"/>
      <c r="U291" s="152"/>
      <c r="V291" s="152"/>
      <c r="W291" s="152"/>
      <c r="X291" s="152"/>
      <c r="Y291" s="152"/>
      <c r="Z291" s="152"/>
      <c r="AA291" s="152"/>
      <c r="AB291" s="152"/>
    </row>
    <row r="292" spans="1:28" outlineLevel="1" x14ac:dyDescent="0.3">
      <c r="A292" s="152"/>
      <c r="B292" s="152"/>
      <c r="C292" s="243" t="s">
        <v>326</v>
      </c>
      <c r="D292" s="244"/>
      <c r="E292" s="178" t="s">
        <v>14</v>
      </c>
      <c r="F292" s="109">
        <v>0</v>
      </c>
      <c r="G292" s="109">
        <v>0</v>
      </c>
      <c r="H292" s="109">
        <v>0</v>
      </c>
      <c r="I292" s="109">
        <v>0</v>
      </c>
      <c r="J292" s="120"/>
      <c r="K292" s="109"/>
      <c r="L292" s="110"/>
      <c r="M292" s="291">
        <f t="shared" ref="M292:Q292" si="93">+M189</f>
        <v>0</v>
      </c>
      <c r="N292" s="291">
        <f t="shared" si="93"/>
        <v>0</v>
      </c>
      <c r="O292" s="291">
        <f t="shared" si="93"/>
        <v>0</v>
      </c>
      <c r="P292" s="291">
        <f t="shared" si="93"/>
        <v>0</v>
      </c>
      <c r="Q292" s="291">
        <f t="shared" si="93"/>
        <v>0</v>
      </c>
      <c r="R292" s="152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</row>
    <row r="293" spans="1:28" outlineLevel="1" x14ac:dyDescent="0.3">
      <c r="A293" s="152"/>
      <c r="B293" s="152"/>
      <c r="C293" s="59" t="s">
        <v>318</v>
      </c>
      <c r="D293" s="152"/>
      <c r="E293" s="175" t="s">
        <v>14</v>
      </c>
      <c r="F293" s="32">
        <f>SUM(F289:F292)</f>
        <v>86.911000000000001</v>
      </c>
      <c r="G293" s="32">
        <f t="shared" ref="G293:I293" si="94">SUM(G289:G292)</f>
        <v>89.587000000000003</v>
      </c>
      <c r="H293" s="32">
        <f t="shared" si="94"/>
        <v>95.595999999999989</v>
      </c>
      <c r="I293" s="32">
        <f t="shared" si="94"/>
        <v>101.27499999999999</v>
      </c>
      <c r="J293" s="93"/>
      <c r="K293" s="32"/>
      <c r="L293" s="101"/>
      <c r="M293" s="32">
        <f>SUM(M289:M292)</f>
        <v>100.51510686866744</v>
      </c>
      <c r="N293" s="32">
        <f t="shared" ref="N293:Q293" si="95">SUM(N289:N292)</f>
        <v>105.89199335430922</v>
      </c>
      <c r="O293" s="32">
        <f t="shared" si="95"/>
        <v>110.56261354684995</v>
      </c>
      <c r="P293" s="32">
        <f t="shared" si="95"/>
        <v>115.37451373631262</v>
      </c>
      <c r="Q293" s="32">
        <f t="shared" si="95"/>
        <v>118.45046176840845</v>
      </c>
      <c r="R293" s="296"/>
      <c r="S293" s="152"/>
      <c r="T293" s="152"/>
      <c r="U293" s="152"/>
      <c r="V293" s="152"/>
      <c r="W293" s="152"/>
      <c r="X293" s="152"/>
      <c r="Y293" s="152"/>
      <c r="Z293" s="152"/>
      <c r="AA293" s="152"/>
      <c r="AB293" s="152"/>
    </row>
    <row r="294" spans="1:28" outlineLevel="1" x14ac:dyDescent="0.3">
      <c r="A294" s="152"/>
      <c r="B294" s="152"/>
      <c r="C294" s="256"/>
      <c r="D294" s="396"/>
      <c r="E294" s="176"/>
      <c r="F294" s="374"/>
      <c r="G294" s="374"/>
      <c r="H294" s="374"/>
      <c r="I294" s="374"/>
      <c r="J294" s="386"/>
      <c r="K294" s="374"/>
      <c r="L294" s="378"/>
      <c r="M294" s="397"/>
      <c r="N294" s="398"/>
      <c r="O294" s="398"/>
      <c r="P294" s="398"/>
      <c r="Q294" s="398"/>
      <c r="R294" s="296"/>
      <c r="S294" s="152"/>
      <c r="T294" s="152"/>
      <c r="U294" s="152"/>
      <c r="V294" s="152"/>
      <c r="W294" s="152"/>
      <c r="X294" s="152"/>
      <c r="Y294" s="152"/>
      <c r="Z294" s="152"/>
      <c r="AA294" s="152"/>
      <c r="AB294" s="152"/>
    </row>
    <row r="295" spans="1:28" outlineLevel="1" x14ac:dyDescent="0.3">
      <c r="A295" s="152"/>
      <c r="B295" s="152"/>
      <c r="C295" s="7" t="s">
        <v>37</v>
      </c>
      <c r="D295" s="152"/>
      <c r="E295" s="175" t="s">
        <v>14</v>
      </c>
      <c r="F295" s="32">
        <f>+F293+F286</f>
        <v>587.46399999999994</v>
      </c>
      <c r="G295" s="32">
        <f t="shared" ref="G295:I295" si="96">+G293+G286</f>
        <v>594.84799999999996</v>
      </c>
      <c r="H295" s="32">
        <f t="shared" si="96"/>
        <v>600.13699999999994</v>
      </c>
      <c r="I295" s="32">
        <f t="shared" si="96"/>
        <v>618.11199999999997</v>
      </c>
      <c r="J295" s="93"/>
      <c r="K295" s="32"/>
      <c r="L295" s="101"/>
      <c r="M295" s="32">
        <f t="shared" ref="M295:Q295" si="97">+M293+M286</f>
        <v>625.86174209616092</v>
      </c>
      <c r="N295" s="32">
        <f t="shared" si="97"/>
        <v>645.13071049537689</v>
      </c>
      <c r="O295" s="32">
        <f t="shared" si="97"/>
        <v>663.71591003532967</v>
      </c>
      <c r="P295" s="32">
        <f t="shared" si="97"/>
        <v>683.79792505724458</v>
      </c>
      <c r="Q295" s="32">
        <f t="shared" si="97"/>
        <v>702.19329191570432</v>
      </c>
      <c r="R295" s="152"/>
      <c r="S295" s="152"/>
      <c r="T295" s="152"/>
      <c r="U295" s="152"/>
      <c r="V295" s="152"/>
      <c r="W295" s="152"/>
      <c r="X295" s="152"/>
    </row>
    <row r="296" spans="1:28" outlineLevel="1" x14ac:dyDescent="0.3">
      <c r="A296" s="152"/>
      <c r="B296" s="152"/>
      <c r="C296" s="222"/>
      <c r="D296" s="152"/>
      <c r="E296" s="4"/>
      <c r="F296" s="4"/>
      <c r="G296" s="4"/>
      <c r="H296" s="11"/>
      <c r="I296" s="11"/>
      <c r="J296" s="79"/>
      <c r="K296" s="11"/>
      <c r="L296" s="81"/>
      <c r="M296" s="249"/>
      <c r="N296" s="249"/>
      <c r="O296" s="249"/>
      <c r="P296" s="249"/>
      <c r="Q296" s="249"/>
      <c r="R296" s="152"/>
      <c r="S296" s="152"/>
      <c r="T296" s="152"/>
      <c r="U296" s="152"/>
      <c r="V296" s="152"/>
      <c r="W296" s="152"/>
      <c r="X296" s="152"/>
    </row>
    <row r="297" spans="1:28" outlineLevel="1" x14ac:dyDescent="0.3">
      <c r="A297" s="152"/>
      <c r="B297" s="152"/>
      <c r="C297" s="7" t="s">
        <v>38</v>
      </c>
      <c r="D297" s="152"/>
      <c r="E297" s="175" t="s">
        <v>14</v>
      </c>
      <c r="F297" s="32">
        <f>+F275-F295</f>
        <v>104.90200000000004</v>
      </c>
      <c r="G297" s="32">
        <f>+G275-G295</f>
        <v>97.979000000000042</v>
      </c>
      <c r="H297" s="32">
        <f>+H275-H295</f>
        <v>79.070999999999913</v>
      </c>
      <c r="I297" s="32">
        <f>+I275-I295</f>
        <v>83.471000000000004</v>
      </c>
      <c r="J297" s="93"/>
      <c r="K297" s="32"/>
      <c r="L297" s="101"/>
      <c r="M297" s="32">
        <f>+M275-M295</f>
        <v>97.571510352086307</v>
      </c>
      <c r="N297" s="32">
        <f t="shared" ref="N297:Q297" si="98">+N275-N295</f>
        <v>99.970317491508808</v>
      </c>
      <c r="O297" s="32">
        <f t="shared" si="98"/>
        <v>103.47724939740169</v>
      </c>
      <c r="P297" s="32">
        <f t="shared" si="98"/>
        <v>104.89074408862427</v>
      </c>
      <c r="Q297" s="32">
        <f t="shared" si="98"/>
        <v>108.35827752514865</v>
      </c>
      <c r="R297" s="152"/>
      <c r="S297" s="152"/>
      <c r="T297" s="152"/>
      <c r="U297" s="152"/>
      <c r="V297" s="152"/>
      <c r="W297" s="152"/>
      <c r="X297" s="152"/>
    </row>
    <row r="298" spans="1:28" outlineLevel="1" x14ac:dyDescent="0.3">
      <c r="A298" s="152"/>
      <c r="B298" s="152"/>
      <c r="C298" s="12" t="s">
        <v>39</v>
      </c>
      <c r="D298" s="152"/>
      <c r="E298" s="175" t="s">
        <v>28</v>
      </c>
      <c r="F298" s="17">
        <f>+F297/F267</f>
        <v>0.1283600571674694</v>
      </c>
      <c r="G298" s="17">
        <f>+G297/G267</f>
        <v>0.11931517892588457</v>
      </c>
      <c r="H298" s="17">
        <f>+H297/H267</f>
        <v>9.8410663613282129E-2</v>
      </c>
      <c r="I298" s="17">
        <f>+I297/I267</f>
        <v>0.10158070683358464</v>
      </c>
      <c r="J298" s="64"/>
      <c r="K298" s="17"/>
      <c r="L298" s="73"/>
      <c r="M298" s="17">
        <f>+M297/M267</f>
        <v>0.1155150712526144</v>
      </c>
      <c r="N298" s="17">
        <f t="shared" ref="N298:Q298" si="99">+N297/N267</f>
        <v>0.11517753465227169</v>
      </c>
      <c r="O298" s="17">
        <f t="shared" si="99"/>
        <v>0.11605350591536721</v>
      </c>
      <c r="P298" s="17">
        <f t="shared" si="99"/>
        <v>0.11455072118762932</v>
      </c>
      <c r="Q298" s="17">
        <f t="shared" si="99"/>
        <v>0.11526458203989981</v>
      </c>
      <c r="R298" s="152"/>
      <c r="S298" s="152"/>
      <c r="T298" s="152"/>
      <c r="U298" s="152"/>
      <c r="V298" s="152"/>
      <c r="W298" s="152"/>
      <c r="X298" s="152"/>
    </row>
    <row r="299" spans="1:28" outlineLevel="1" x14ac:dyDescent="0.3">
      <c r="A299" s="152"/>
      <c r="B299" s="152"/>
      <c r="C299" s="222"/>
      <c r="D299" s="152"/>
      <c r="E299" s="4"/>
      <c r="F299" s="4"/>
      <c r="G299" s="4"/>
      <c r="H299" s="11"/>
      <c r="I299" s="535"/>
      <c r="J299" s="79"/>
      <c r="K299" s="11"/>
      <c r="L299" s="81"/>
      <c r="M299" s="249"/>
      <c r="N299" s="249"/>
      <c r="O299" s="249"/>
      <c r="P299" s="249"/>
      <c r="Q299" s="249"/>
      <c r="R299" s="152"/>
      <c r="S299" s="152"/>
      <c r="T299" s="152"/>
      <c r="U299" s="152"/>
      <c r="V299" s="152"/>
      <c r="W299" s="152"/>
      <c r="X299" s="152"/>
    </row>
    <row r="300" spans="1:28" outlineLevel="1" x14ac:dyDescent="0.3">
      <c r="A300" s="152"/>
      <c r="B300" s="152"/>
      <c r="C300" s="399" t="s">
        <v>42</v>
      </c>
      <c r="D300" s="400"/>
      <c r="E300" s="401" t="s">
        <v>14</v>
      </c>
      <c r="F300" s="402">
        <v>-12.141999999999999</v>
      </c>
      <c r="G300" s="402">
        <v>-8.875</v>
      </c>
      <c r="H300" s="402">
        <v>-9.4009999999999998</v>
      </c>
      <c r="I300" s="402">
        <v>-7.4530000000000003</v>
      </c>
      <c r="J300" s="403"/>
      <c r="K300" s="402"/>
      <c r="L300" s="404"/>
      <c r="M300" s="405"/>
      <c r="N300" s="405"/>
      <c r="O300" s="405"/>
      <c r="P300" s="405"/>
      <c r="Q300" s="405"/>
      <c r="R300" s="331"/>
      <c r="S300" s="152"/>
      <c r="T300" s="152"/>
      <c r="U300" s="152"/>
      <c r="V300" s="152"/>
      <c r="W300" s="152"/>
      <c r="X300" s="152"/>
    </row>
    <row r="301" spans="1:28" outlineLevel="1" x14ac:dyDescent="0.3">
      <c r="A301" s="152"/>
      <c r="B301" s="152"/>
      <c r="C301" s="307" t="s">
        <v>186</v>
      </c>
      <c r="D301" s="362"/>
      <c r="E301" s="181" t="s">
        <v>14</v>
      </c>
      <c r="F301" s="114">
        <v>0</v>
      </c>
      <c r="G301" s="114">
        <v>0</v>
      </c>
      <c r="H301" s="114">
        <v>0</v>
      </c>
      <c r="I301" s="114">
        <v>0</v>
      </c>
      <c r="J301" s="133"/>
      <c r="K301" s="114"/>
      <c r="L301" s="115"/>
      <c r="M301" s="295"/>
      <c r="N301" s="295"/>
      <c r="O301" s="295"/>
      <c r="P301" s="295"/>
      <c r="Q301" s="295"/>
      <c r="R301" s="296"/>
      <c r="S301" s="152"/>
      <c r="T301" s="152"/>
      <c r="U301" s="152"/>
      <c r="V301" s="152"/>
      <c r="W301" s="152"/>
      <c r="X301" s="152"/>
    </row>
    <row r="302" spans="1:28" outlineLevel="1" x14ac:dyDescent="0.3">
      <c r="A302" s="152"/>
      <c r="B302" s="152"/>
      <c r="C302" s="8" t="s">
        <v>42</v>
      </c>
      <c r="D302" s="152"/>
      <c r="E302" s="175" t="s">
        <v>14</v>
      </c>
      <c r="F302" s="140">
        <f>SUM(F300:F301)</f>
        <v>-12.141999999999999</v>
      </c>
      <c r="G302" s="140">
        <f>SUM(G300:G301)</f>
        <v>-8.875</v>
      </c>
      <c r="H302" s="140">
        <f>SUM(H300:H301)</f>
        <v>-9.4009999999999998</v>
      </c>
      <c r="I302" s="140">
        <f>SUM(I300:I301)</f>
        <v>-7.4530000000000003</v>
      </c>
      <c r="J302" s="84"/>
      <c r="K302" s="29"/>
      <c r="L302" s="87"/>
      <c r="M302" s="32">
        <f>SUM(M300:M301)</f>
        <v>0</v>
      </c>
      <c r="N302" s="32">
        <f t="shared" ref="N302:Q302" si="100">SUM(N300:N301)</f>
        <v>0</v>
      </c>
      <c r="O302" s="32">
        <f t="shared" si="100"/>
        <v>0</v>
      </c>
      <c r="P302" s="32">
        <f t="shared" si="100"/>
        <v>0</v>
      </c>
      <c r="Q302" s="32">
        <f t="shared" si="100"/>
        <v>0</v>
      </c>
      <c r="R302" s="331"/>
      <c r="S302" s="152"/>
      <c r="T302" s="152"/>
      <c r="U302" s="152"/>
      <c r="V302" s="152"/>
      <c r="W302" s="152"/>
      <c r="X302" s="152"/>
    </row>
    <row r="303" spans="1:28" outlineLevel="1" x14ac:dyDescent="0.3">
      <c r="A303" s="152"/>
      <c r="B303" s="152"/>
      <c r="C303" s="222"/>
      <c r="D303" s="152"/>
      <c r="E303" s="19"/>
      <c r="F303" s="19"/>
      <c r="G303" s="19"/>
      <c r="H303" s="20"/>
      <c r="I303" s="20"/>
      <c r="J303" s="91"/>
      <c r="K303" s="20"/>
      <c r="L303" s="99"/>
      <c r="M303" s="20"/>
      <c r="N303" s="20"/>
      <c r="O303" s="20"/>
      <c r="P303" s="20"/>
      <c r="Q303" s="20"/>
      <c r="R303" s="152"/>
      <c r="S303" s="152"/>
      <c r="T303" s="152"/>
      <c r="U303" s="152"/>
      <c r="V303" s="152"/>
      <c r="W303" s="152"/>
      <c r="X303" s="152"/>
    </row>
    <row r="304" spans="1:28" outlineLevel="1" x14ac:dyDescent="0.3">
      <c r="A304" s="152"/>
      <c r="B304" s="152"/>
      <c r="C304" s="260" t="s">
        <v>43</v>
      </c>
      <c r="D304" s="152"/>
      <c r="E304" s="175" t="s">
        <v>14</v>
      </c>
      <c r="F304" s="298">
        <f>+F297+F302</f>
        <v>92.760000000000048</v>
      </c>
      <c r="G304" s="298">
        <f>+G297+G302</f>
        <v>89.104000000000042</v>
      </c>
      <c r="H304" s="298">
        <f>+H297+H302</f>
        <v>69.669999999999916</v>
      </c>
      <c r="I304" s="298">
        <f>+I297+I302</f>
        <v>76.018000000000001</v>
      </c>
      <c r="J304" s="299"/>
      <c r="K304" s="298"/>
      <c r="L304" s="300"/>
      <c r="M304" s="298">
        <f>+M297+M302</f>
        <v>97.571510352086307</v>
      </c>
      <c r="N304" s="298">
        <f t="shared" ref="N304:Q304" si="101">+N297+N302</f>
        <v>99.970317491508808</v>
      </c>
      <c r="O304" s="298">
        <f t="shared" si="101"/>
        <v>103.47724939740169</v>
      </c>
      <c r="P304" s="298">
        <f t="shared" si="101"/>
        <v>104.89074408862427</v>
      </c>
      <c r="Q304" s="298">
        <f t="shared" si="101"/>
        <v>108.35827752514865</v>
      </c>
      <c r="R304" s="152"/>
      <c r="S304" s="152"/>
      <c r="T304" s="152"/>
      <c r="U304" s="152"/>
      <c r="V304" s="152"/>
      <c r="W304" s="152"/>
      <c r="X304" s="152"/>
    </row>
    <row r="305" spans="1:24" outlineLevel="1" x14ac:dyDescent="0.3">
      <c r="A305" s="152"/>
      <c r="B305" s="152"/>
      <c r="C305" s="256" t="s">
        <v>319</v>
      </c>
      <c r="D305" s="152"/>
      <c r="E305" s="175" t="s">
        <v>14</v>
      </c>
      <c r="F305" s="45">
        <v>38.725999999999999</v>
      </c>
      <c r="G305" s="45">
        <v>34.142000000000003</v>
      </c>
      <c r="H305" s="45">
        <v>26.079999999999899</v>
      </c>
      <c r="I305" s="45">
        <v>28.193999999999999</v>
      </c>
      <c r="J305" s="95"/>
      <c r="K305" s="45"/>
      <c r="L305" s="103"/>
      <c r="M305" s="298">
        <f>+M304*Tax_Rate</f>
        <v>37.708418000528759</v>
      </c>
      <c r="N305" s="298">
        <f>+N304*Tax_Rate</f>
        <v>38.635483923661333</v>
      </c>
      <c r="O305" s="298">
        <f>+O304*Tax_Rate</f>
        <v>39.990806330064693</v>
      </c>
      <c r="P305" s="298">
        <f>+P304*Tax_Rate</f>
        <v>40.537078991682968</v>
      </c>
      <c r="Q305" s="298">
        <f>+Q304*Tax_Rate</f>
        <v>41.877175089236871</v>
      </c>
      <c r="R305" s="152"/>
      <c r="S305" s="152"/>
      <c r="T305" s="152"/>
      <c r="U305" s="152"/>
      <c r="V305" s="152"/>
      <c r="W305" s="152"/>
      <c r="X305" s="152"/>
    </row>
    <row r="306" spans="1:24" outlineLevel="1" x14ac:dyDescent="0.3">
      <c r="A306" s="152"/>
      <c r="B306" s="152"/>
      <c r="C306" s="222"/>
      <c r="D306" s="152"/>
      <c r="E306" s="361"/>
      <c r="F306" s="19"/>
      <c r="G306" s="19"/>
      <c r="H306" s="20"/>
      <c r="I306" s="20"/>
      <c r="J306" s="91"/>
      <c r="K306" s="20"/>
      <c r="L306" s="99"/>
      <c r="M306" s="20"/>
      <c r="N306" s="20"/>
      <c r="O306" s="20"/>
      <c r="P306" s="20"/>
      <c r="Q306" s="20"/>
      <c r="R306" s="152"/>
      <c r="S306" s="152"/>
      <c r="T306" s="152"/>
      <c r="U306" s="152"/>
      <c r="V306" s="152"/>
      <c r="W306" s="152"/>
      <c r="X306" s="152"/>
    </row>
    <row r="307" spans="1:24" outlineLevel="1" x14ac:dyDescent="0.3">
      <c r="A307" s="152"/>
      <c r="B307" s="152"/>
      <c r="C307" s="12" t="s">
        <v>46</v>
      </c>
      <c r="D307" s="152"/>
      <c r="E307" s="361" t="s">
        <v>28</v>
      </c>
      <c r="F307" s="17">
        <f>+F305/F304</f>
        <v>0.41748598533850773</v>
      </c>
      <c r="G307" s="17">
        <f t="shared" ref="G307:I307" si="102">+G305/G304</f>
        <v>0.3831702280481234</v>
      </c>
      <c r="H307" s="17">
        <f t="shared" si="102"/>
        <v>0.37433615616477578</v>
      </c>
      <c r="I307" s="17">
        <f t="shared" si="102"/>
        <v>0.3708858428266989</v>
      </c>
      <c r="J307" s="64"/>
      <c r="K307" s="17"/>
      <c r="L307" s="73"/>
      <c r="M307" s="17">
        <f>+M305/M304</f>
        <v>0.38646955309452646</v>
      </c>
      <c r="N307" s="17">
        <f t="shared" ref="N307:Q307" si="103">+N305/N304</f>
        <v>0.38646955309452646</v>
      </c>
      <c r="O307" s="17">
        <f t="shared" si="103"/>
        <v>0.38646955309452652</v>
      </c>
      <c r="P307" s="17">
        <f t="shared" si="103"/>
        <v>0.38646955309452646</v>
      </c>
      <c r="Q307" s="17">
        <f t="shared" si="103"/>
        <v>0.38646955309452646</v>
      </c>
      <c r="R307" s="152"/>
      <c r="S307" s="152"/>
      <c r="T307" s="152"/>
      <c r="U307" s="152"/>
      <c r="V307" s="152"/>
      <c r="W307" s="152"/>
      <c r="X307" s="152"/>
    </row>
    <row r="308" spans="1:24" outlineLevel="1" x14ac:dyDescent="0.3">
      <c r="A308" s="152"/>
      <c r="B308" s="152"/>
      <c r="C308" s="222"/>
      <c r="D308" s="152"/>
      <c r="E308" s="361"/>
      <c r="F308" s="19"/>
      <c r="G308" s="19"/>
      <c r="H308" s="20"/>
      <c r="I308" s="20"/>
      <c r="J308" s="91"/>
      <c r="K308" s="20"/>
      <c r="L308" s="99"/>
      <c r="M308" s="20"/>
      <c r="N308" s="20"/>
      <c r="O308" s="20"/>
      <c r="P308" s="20"/>
      <c r="Q308" s="20"/>
      <c r="R308" s="152"/>
      <c r="S308" s="152"/>
      <c r="T308" s="152"/>
      <c r="U308" s="152"/>
      <c r="V308" s="152"/>
      <c r="W308" s="152"/>
      <c r="X308" s="152"/>
    </row>
    <row r="309" spans="1:24" outlineLevel="1" x14ac:dyDescent="0.3">
      <c r="A309" s="152"/>
      <c r="B309" s="152"/>
      <c r="C309" s="7" t="s">
        <v>45</v>
      </c>
      <c r="D309" s="152"/>
      <c r="E309" s="175" t="s">
        <v>14</v>
      </c>
      <c r="F309" s="42">
        <f>+F304-F305</f>
        <v>54.034000000000049</v>
      </c>
      <c r="G309" s="42">
        <f t="shared" ref="G309:I309" si="104">+G304-G305</f>
        <v>54.962000000000039</v>
      </c>
      <c r="H309" s="42">
        <f t="shared" si="104"/>
        <v>43.590000000000018</v>
      </c>
      <c r="I309" s="42">
        <f t="shared" si="104"/>
        <v>47.823999999999998</v>
      </c>
      <c r="J309" s="96"/>
      <c r="K309" s="42"/>
      <c r="L309" s="541"/>
      <c r="M309" s="42">
        <f>+M304-M305</f>
        <v>59.863092351557547</v>
      </c>
      <c r="N309" s="42">
        <f t="shared" ref="N309:Q309" si="105">+N304-N305</f>
        <v>61.334833567847475</v>
      </c>
      <c r="O309" s="42">
        <f t="shared" si="105"/>
        <v>63.486443067336999</v>
      </c>
      <c r="P309" s="42">
        <f t="shared" si="105"/>
        <v>64.353665096941313</v>
      </c>
      <c r="Q309" s="42">
        <f t="shared" si="105"/>
        <v>66.481102435911779</v>
      </c>
      <c r="R309" s="331"/>
      <c r="S309" s="152"/>
      <c r="T309" s="152"/>
      <c r="U309" s="152"/>
      <c r="V309" s="152"/>
      <c r="W309" s="152"/>
      <c r="X309" s="152"/>
    </row>
    <row r="310" spans="1:24" outlineLevel="1" x14ac:dyDescent="0.3">
      <c r="A310" s="152"/>
      <c r="B310" s="152"/>
      <c r="C310" s="12" t="s">
        <v>362</v>
      </c>
      <c r="D310" s="152"/>
      <c r="E310" s="361" t="s">
        <v>28</v>
      </c>
      <c r="F310" s="17">
        <f>+F309/F267</f>
        <v>6.6117017111085058E-2</v>
      </c>
      <c r="G310" s="17">
        <f t="shared" ref="G310:I310" si="106">+G309/G267</f>
        <v>6.6930677636273792E-2</v>
      </c>
      <c r="H310" s="17">
        <f t="shared" si="106"/>
        <v>5.4251505949121349E-2</v>
      </c>
      <c r="I310" s="17">
        <f t="shared" si="106"/>
        <v>5.8199802609401483E-2</v>
      </c>
      <c r="J310" s="64"/>
      <c r="K310" s="17"/>
      <c r="L310" s="73"/>
      <c r="M310" s="17">
        <f>+M309/M267</f>
        <v>7.087201328993413E-2</v>
      </c>
      <c r="N310" s="17">
        <f t="shared" ref="N310:Q310" si="107">+N309/N267</f>
        <v>7.066492430867892E-2</v>
      </c>
      <c r="O310" s="17">
        <f t="shared" si="107"/>
        <v>7.1202359349202257E-2</v>
      </c>
      <c r="P310" s="17">
        <f t="shared" si="107"/>
        <v>7.0280355163590519E-2</v>
      </c>
      <c r="Q310" s="17">
        <f t="shared" si="107"/>
        <v>7.0718330531312351E-2</v>
      </c>
      <c r="R310" s="152"/>
      <c r="S310" s="152"/>
      <c r="T310" s="152"/>
      <c r="U310" s="152"/>
      <c r="V310" s="152"/>
      <c r="W310" s="152"/>
      <c r="X310" s="152"/>
    </row>
    <row r="311" spans="1:24" outlineLevel="1" x14ac:dyDescent="0.3">
      <c r="A311" s="152"/>
      <c r="B311" s="152"/>
      <c r="C311" s="12"/>
      <c r="D311" s="152"/>
      <c r="E311" s="361"/>
      <c r="F311" s="26"/>
      <c r="G311" s="26"/>
      <c r="H311" s="26"/>
      <c r="I311" s="26"/>
      <c r="J311" s="94"/>
      <c r="K311" s="26"/>
      <c r="L311" s="102"/>
      <c r="M311" s="298"/>
      <c r="N311" s="298"/>
      <c r="O311" s="298"/>
      <c r="P311" s="298"/>
      <c r="Q311" s="298"/>
      <c r="R311" s="152"/>
      <c r="S311" s="152"/>
      <c r="T311" s="152"/>
      <c r="U311" s="152"/>
      <c r="V311" s="152"/>
      <c r="W311" s="152"/>
      <c r="X311" s="152"/>
    </row>
    <row r="312" spans="1:24" outlineLevel="1" x14ac:dyDescent="0.3">
      <c r="A312" s="152"/>
      <c r="B312" s="152"/>
      <c r="C312" s="59" t="s">
        <v>190</v>
      </c>
      <c r="D312" s="152"/>
      <c r="E312" s="175" t="s">
        <v>14</v>
      </c>
      <c r="F312" s="32">
        <f>F297+F401+F402+F403+F409+F410</f>
        <v>186.51700000000005</v>
      </c>
      <c r="G312" s="32">
        <f>G297+G401+G402+G403+G409+G410</f>
        <v>182.27800000000005</v>
      </c>
      <c r="H312" s="32">
        <f>H297+H401+H402+H403+H409+H410</f>
        <v>165.33299999999991</v>
      </c>
      <c r="I312" s="32">
        <f>I297+I401+I402+I403+I409+I410</f>
        <v>165.55</v>
      </c>
      <c r="J312" s="299"/>
      <c r="K312" s="298"/>
      <c r="L312" s="300"/>
      <c r="M312" s="32">
        <f>M297+M401+M402+M403+M409+M410</f>
        <v>176.5348828510966</v>
      </c>
      <c r="N312" s="32">
        <f t="shared" ref="N312:Q312" si="108">N297+N401+N402+N403+N409+N410</f>
        <v>183.89310907085121</v>
      </c>
      <c r="O312" s="32">
        <f t="shared" si="108"/>
        <v>192.91395749091402</v>
      </c>
      <c r="P312" s="32">
        <f t="shared" si="108"/>
        <v>200.6349041813466</v>
      </c>
      <c r="Q312" s="32">
        <f t="shared" si="108"/>
        <v>211.01119361099271</v>
      </c>
      <c r="R312" s="152"/>
      <c r="S312" s="152"/>
      <c r="T312" s="152"/>
      <c r="U312" s="152"/>
      <c r="V312" s="152"/>
      <c r="W312" s="152"/>
      <c r="X312" s="152"/>
    </row>
    <row r="313" spans="1:24" outlineLevel="1" x14ac:dyDescent="0.3">
      <c r="A313" s="152"/>
      <c r="B313" s="152"/>
      <c r="C313" s="12" t="s">
        <v>361</v>
      </c>
      <c r="D313" s="152"/>
      <c r="E313" s="361" t="s">
        <v>28</v>
      </c>
      <c r="F313" s="17">
        <f>+F312/F267</f>
        <v>0.22822570382552179</v>
      </c>
      <c r="G313" s="17">
        <f>+G312/G267</f>
        <v>0.22197136309058457</v>
      </c>
      <c r="H313" s="17">
        <f>+H312/H267</f>
        <v>0.20577114551700096</v>
      </c>
      <c r="I313" s="17">
        <f>+I312/I267</f>
        <v>0.20146740803752125</v>
      </c>
      <c r="J313" s="64"/>
      <c r="K313" s="17"/>
      <c r="L313" s="73"/>
      <c r="M313" s="17">
        <f>+M312/M267</f>
        <v>0.20899993755892826</v>
      </c>
      <c r="N313" s="17">
        <f t="shared" ref="N313:Q313" si="109">+N312/N267</f>
        <v>0.2118664366962818</v>
      </c>
      <c r="O313" s="17">
        <f t="shared" si="109"/>
        <v>0.21636003312039001</v>
      </c>
      <c r="P313" s="17">
        <f t="shared" si="109"/>
        <v>0.21911249814345365</v>
      </c>
      <c r="Q313" s="17">
        <f t="shared" si="109"/>
        <v>0.22446016670638363</v>
      </c>
      <c r="R313" s="152"/>
      <c r="S313" s="152"/>
      <c r="T313" s="152"/>
      <c r="U313" s="152"/>
      <c r="V313" s="152"/>
      <c r="W313" s="152"/>
      <c r="X313" s="152"/>
    </row>
    <row r="314" spans="1:24" x14ac:dyDescent="0.3">
      <c r="A314" s="436"/>
      <c r="B314" s="436"/>
      <c r="C314" s="437"/>
      <c r="D314" s="436"/>
      <c r="E314" s="438"/>
      <c r="F314" s="438"/>
      <c r="G314" s="438"/>
      <c r="H314" s="439"/>
      <c r="I314" s="439"/>
      <c r="J314" s="439"/>
      <c r="K314" s="439"/>
      <c r="L314" s="439"/>
      <c r="M314" s="440"/>
      <c r="N314" s="440"/>
      <c r="O314" s="440"/>
      <c r="P314" s="440"/>
      <c r="Q314" s="440"/>
      <c r="R314" s="152"/>
      <c r="S314" s="152"/>
      <c r="T314" s="152"/>
      <c r="U314" s="152"/>
      <c r="V314" s="152"/>
      <c r="W314" s="152"/>
      <c r="X314" s="152"/>
    </row>
    <row r="315" spans="1:24" x14ac:dyDescent="0.3">
      <c r="A315" s="436"/>
      <c r="B315" s="171"/>
      <c r="C315" s="172"/>
      <c r="D315" s="172"/>
      <c r="E315" s="169"/>
      <c r="F315" s="157" t="str">
        <f>$F$131</f>
        <v>Historical</v>
      </c>
      <c r="G315" s="158"/>
      <c r="H315" s="159"/>
      <c r="I315" s="159"/>
      <c r="J315" s="165" t="str">
        <f>$J$131</f>
        <v>Transaction Adjustments</v>
      </c>
      <c r="K315" s="166"/>
      <c r="L315" s="167"/>
      <c r="M315" s="157" t="str">
        <f>$M$131</f>
        <v>Projected</v>
      </c>
      <c r="N315" s="158"/>
      <c r="O315" s="158"/>
      <c r="P315" s="158"/>
      <c r="Q315" s="159"/>
      <c r="R315" s="152"/>
      <c r="S315" s="152"/>
      <c r="T315" s="152"/>
      <c r="U315" s="152"/>
      <c r="V315" s="152"/>
      <c r="W315" s="152"/>
      <c r="X315" s="152"/>
    </row>
    <row r="316" spans="1:24" x14ac:dyDescent="0.3">
      <c r="A316" s="436"/>
      <c r="B316" s="173" t="s">
        <v>347</v>
      </c>
      <c r="C316" s="173"/>
      <c r="D316" s="173"/>
      <c r="E316" s="170" t="str">
        <f>$E$132</f>
        <v>Units</v>
      </c>
      <c r="F316" s="160">
        <f>$F$132</f>
        <v>40543</v>
      </c>
      <c r="G316" s="161">
        <f>$G$132</f>
        <v>40908</v>
      </c>
      <c r="H316" s="161">
        <f>$H$132</f>
        <v>41274</v>
      </c>
      <c r="I316" s="162">
        <f>$I$132</f>
        <v>41639</v>
      </c>
      <c r="J316" s="164" t="str">
        <f>$J$132</f>
        <v xml:space="preserve">Debit </v>
      </c>
      <c r="K316" s="164" t="str">
        <f>$K$132</f>
        <v>Credit</v>
      </c>
      <c r="L316" s="168">
        <f>$L$132</f>
        <v>41639</v>
      </c>
      <c r="M316" s="160">
        <f>$M$132</f>
        <v>42004</v>
      </c>
      <c r="N316" s="161">
        <f>$N$132</f>
        <v>42369</v>
      </c>
      <c r="O316" s="161">
        <f>$O$132</f>
        <v>42735</v>
      </c>
      <c r="P316" s="160">
        <f>$P$132</f>
        <v>43100</v>
      </c>
      <c r="Q316" s="163">
        <f>$Q$132</f>
        <v>43465</v>
      </c>
      <c r="R316" s="152"/>
      <c r="S316" s="152"/>
      <c r="T316" s="152"/>
      <c r="U316" s="152"/>
      <c r="V316" s="152"/>
      <c r="W316" s="152"/>
      <c r="X316" s="152"/>
    </row>
    <row r="317" spans="1:24" outlineLevel="1" x14ac:dyDescent="0.3">
      <c r="A317" s="436"/>
      <c r="B317" s="152"/>
      <c r="C317" s="222"/>
      <c r="D317" s="152"/>
      <c r="E317" s="4"/>
      <c r="F317" s="4"/>
      <c r="G317" s="4"/>
      <c r="H317" s="10"/>
      <c r="I317" s="10"/>
      <c r="J317" s="448"/>
      <c r="K317" s="445"/>
      <c r="L317" s="449"/>
      <c r="M317" s="257"/>
      <c r="N317" s="257"/>
      <c r="O317" s="257"/>
      <c r="P317" s="257"/>
      <c r="Q317" s="257"/>
      <c r="R317" s="152"/>
      <c r="S317" s="152"/>
      <c r="T317" s="152"/>
      <c r="U317" s="152"/>
      <c r="V317" s="152"/>
      <c r="W317" s="152"/>
      <c r="X317" s="152"/>
    </row>
    <row r="318" spans="1:24" outlineLevel="1" x14ac:dyDescent="0.3">
      <c r="A318" s="436"/>
      <c r="B318" s="152"/>
      <c r="C318" s="260" t="s">
        <v>357</v>
      </c>
      <c r="D318" s="148"/>
      <c r="E318" s="175" t="s">
        <v>14</v>
      </c>
      <c r="F318" s="148"/>
      <c r="G318" s="152"/>
      <c r="H318" s="10"/>
      <c r="I318" s="447">
        <v>0</v>
      </c>
      <c r="J318" s="65"/>
      <c r="K318" s="10"/>
      <c r="L318" s="74"/>
      <c r="M318" s="257"/>
      <c r="N318" s="257"/>
      <c r="O318" s="257"/>
      <c r="P318" s="257"/>
      <c r="Q318" s="257"/>
      <c r="R318" s="152"/>
      <c r="S318" s="152"/>
      <c r="T318" s="152"/>
      <c r="U318" s="152"/>
      <c r="V318" s="152"/>
      <c r="W318" s="152"/>
      <c r="X318" s="152"/>
    </row>
    <row r="319" spans="1:24" outlineLevel="1" x14ac:dyDescent="0.3">
      <c r="A319" s="436"/>
      <c r="B319" s="152"/>
      <c r="C319" s="222"/>
      <c r="D319" s="152"/>
      <c r="E319" s="4"/>
      <c r="F319" s="4"/>
      <c r="G319" s="4"/>
      <c r="H319" s="10"/>
      <c r="I319" s="10"/>
      <c r="J319" s="65"/>
      <c r="K319" s="10"/>
      <c r="L319" s="74"/>
      <c r="M319" s="257"/>
      <c r="N319" s="257"/>
      <c r="O319" s="257"/>
      <c r="P319" s="257"/>
      <c r="Q319" s="257"/>
      <c r="R319" s="152"/>
      <c r="S319" s="152"/>
      <c r="T319" s="152"/>
      <c r="U319" s="152"/>
      <c r="V319" s="152"/>
      <c r="W319" s="152"/>
      <c r="X319" s="152"/>
    </row>
    <row r="320" spans="1:24" outlineLevel="1" x14ac:dyDescent="0.3">
      <c r="A320" s="436"/>
      <c r="B320" s="152"/>
      <c r="C320" s="3" t="s">
        <v>43</v>
      </c>
      <c r="D320" s="152"/>
      <c r="E320" s="175" t="s">
        <v>14</v>
      </c>
      <c r="F320" s="4"/>
      <c r="G320" s="4"/>
      <c r="H320" s="10"/>
      <c r="I320" s="10"/>
      <c r="J320" s="65"/>
      <c r="K320" s="10"/>
      <c r="L320" s="74"/>
      <c r="M320" s="443"/>
      <c r="N320" s="443"/>
      <c r="O320" s="443"/>
      <c r="P320" s="443"/>
      <c r="Q320" s="443"/>
      <c r="R320" s="152"/>
      <c r="S320" s="152"/>
      <c r="T320" s="152"/>
      <c r="U320" s="152"/>
      <c r="V320" s="152"/>
      <c r="W320" s="152"/>
      <c r="X320" s="152"/>
    </row>
    <row r="321" spans="1:30" outlineLevel="1" x14ac:dyDescent="0.3">
      <c r="A321" s="436"/>
      <c r="B321" s="152"/>
      <c r="C321" s="147" t="s">
        <v>438</v>
      </c>
      <c r="D321" s="152"/>
      <c r="E321" s="175" t="s">
        <v>14</v>
      </c>
      <c r="F321" s="4"/>
      <c r="G321" s="4"/>
      <c r="H321" s="10"/>
      <c r="I321" s="10"/>
      <c r="J321" s="65"/>
      <c r="K321" s="10"/>
      <c r="L321" s="74"/>
      <c r="M321" s="257"/>
      <c r="N321" s="257"/>
      <c r="O321" s="257"/>
      <c r="P321" s="257"/>
      <c r="Q321" s="257"/>
      <c r="R321" s="152"/>
      <c r="S321" s="152"/>
      <c r="T321" s="152"/>
      <c r="U321" s="152"/>
      <c r="V321" s="152"/>
      <c r="W321" s="152"/>
      <c r="X321" s="152"/>
    </row>
    <row r="322" spans="1:30" outlineLevel="1" x14ac:dyDescent="0.3">
      <c r="A322" s="436"/>
      <c r="B322" s="152"/>
      <c r="C322" s="149" t="s">
        <v>355</v>
      </c>
      <c r="D322" s="152"/>
      <c r="E322" s="178" t="s">
        <v>14</v>
      </c>
      <c r="F322" s="4"/>
      <c r="G322" s="4"/>
      <c r="H322" s="10"/>
      <c r="I322" s="10"/>
      <c r="J322" s="65"/>
      <c r="K322" s="10"/>
      <c r="L322" s="74"/>
      <c r="M322" s="257"/>
      <c r="N322" s="257"/>
      <c r="O322" s="257"/>
      <c r="P322" s="257"/>
      <c r="Q322" s="257"/>
      <c r="R322" s="152"/>
      <c r="S322" s="152"/>
      <c r="T322" s="152"/>
      <c r="U322" s="152"/>
      <c r="V322" s="152"/>
      <c r="W322" s="152"/>
      <c r="X322" s="152"/>
    </row>
    <row r="323" spans="1:30" outlineLevel="1" x14ac:dyDescent="0.3">
      <c r="A323" s="436"/>
      <c r="B323" s="152"/>
      <c r="C323" s="444" t="s">
        <v>356</v>
      </c>
      <c r="D323" s="365"/>
      <c r="E323" s="175" t="s">
        <v>14</v>
      </c>
      <c r="F323" s="6"/>
      <c r="G323" s="6"/>
      <c r="H323" s="445"/>
      <c r="I323" s="445"/>
      <c r="J323" s="448"/>
      <c r="K323" s="445"/>
      <c r="L323" s="449"/>
      <c r="M323" s="446"/>
      <c r="N323" s="446"/>
      <c r="O323" s="446"/>
      <c r="P323" s="446"/>
      <c r="Q323" s="446"/>
      <c r="R323" s="152"/>
      <c r="S323" s="152"/>
      <c r="T323" s="152"/>
      <c r="U323" s="152"/>
      <c r="V323" s="152"/>
      <c r="W323" s="152"/>
      <c r="X323" s="152"/>
    </row>
    <row r="324" spans="1:30" outlineLevel="1" x14ac:dyDescent="0.3">
      <c r="A324" s="436"/>
      <c r="B324" s="152"/>
      <c r="C324" s="148"/>
      <c r="D324" s="152"/>
      <c r="E324" s="4"/>
      <c r="F324" s="4"/>
      <c r="G324" s="4"/>
      <c r="H324" s="10"/>
      <c r="I324" s="10"/>
      <c r="J324" s="65"/>
      <c r="K324" s="10"/>
      <c r="L324" s="74"/>
      <c r="M324" s="257"/>
      <c r="N324" s="257"/>
      <c r="O324" s="257"/>
      <c r="P324" s="257"/>
      <c r="Q324" s="257"/>
      <c r="R324" s="152"/>
      <c r="S324" s="152"/>
      <c r="T324" s="152"/>
      <c r="U324" s="152"/>
      <c r="V324" s="152"/>
      <c r="W324" s="152"/>
      <c r="X324" s="152"/>
    </row>
    <row r="325" spans="1:30" outlineLevel="1" x14ac:dyDescent="0.3">
      <c r="A325" s="436"/>
      <c r="B325" s="152"/>
      <c r="C325" s="148" t="s">
        <v>358</v>
      </c>
      <c r="D325" s="152"/>
      <c r="E325" s="175" t="s">
        <v>14</v>
      </c>
      <c r="F325" s="4"/>
      <c r="G325" s="4"/>
      <c r="H325" s="10"/>
      <c r="I325" s="10"/>
      <c r="J325" s="65"/>
      <c r="K325" s="10"/>
      <c r="L325" s="74"/>
      <c r="M325" s="257"/>
      <c r="N325" s="257"/>
      <c r="O325" s="257"/>
      <c r="P325" s="257"/>
      <c r="Q325" s="257"/>
      <c r="R325" s="152"/>
      <c r="S325" s="152"/>
      <c r="T325" s="152"/>
      <c r="U325" s="152"/>
      <c r="V325" s="152"/>
      <c r="W325" s="152"/>
      <c r="X325" s="152"/>
    </row>
    <row r="326" spans="1:30" outlineLevel="1" x14ac:dyDescent="0.3">
      <c r="A326" s="436"/>
      <c r="B326" s="152"/>
      <c r="C326" s="148"/>
      <c r="D326" s="152"/>
      <c r="E326" s="4"/>
      <c r="F326" s="4"/>
      <c r="G326" s="4"/>
      <c r="H326" s="10"/>
      <c r="I326" s="10"/>
      <c r="J326" s="65"/>
      <c r="K326" s="10"/>
      <c r="L326" s="74"/>
      <c r="M326" s="257"/>
      <c r="N326" s="257"/>
      <c r="O326" s="257"/>
      <c r="P326" s="257"/>
      <c r="Q326" s="257"/>
      <c r="R326" s="152"/>
      <c r="S326" s="152"/>
      <c r="T326" s="152"/>
      <c r="U326" s="152"/>
      <c r="V326" s="152"/>
      <c r="W326" s="152"/>
      <c r="X326" s="152"/>
    </row>
    <row r="327" spans="1:30" outlineLevel="1" x14ac:dyDescent="0.3">
      <c r="A327" s="436"/>
      <c r="B327" s="152"/>
      <c r="C327" s="148" t="s">
        <v>348</v>
      </c>
      <c r="D327" s="152"/>
      <c r="E327" s="175" t="s">
        <v>14</v>
      </c>
      <c r="F327" s="4"/>
      <c r="G327" s="4"/>
      <c r="H327" s="10"/>
      <c r="I327" s="10"/>
      <c r="J327" s="65"/>
      <c r="K327" s="10"/>
      <c r="L327" s="74"/>
      <c r="M327" s="257"/>
      <c r="N327" s="257"/>
      <c r="O327" s="257"/>
      <c r="P327" s="257"/>
      <c r="Q327" s="257"/>
      <c r="R327" s="152"/>
      <c r="S327" s="152"/>
      <c r="T327" s="152"/>
      <c r="U327" s="152"/>
      <c r="V327" s="152"/>
      <c r="W327" s="152"/>
      <c r="X327" s="152"/>
    </row>
    <row r="328" spans="1:30" outlineLevel="1" x14ac:dyDescent="0.3">
      <c r="A328" s="436"/>
      <c r="B328" s="152"/>
      <c r="C328" s="148" t="s">
        <v>349</v>
      </c>
      <c r="D328" s="152"/>
      <c r="E328" s="175" t="s">
        <v>14</v>
      </c>
      <c r="F328" s="4"/>
      <c r="G328" s="4"/>
      <c r="H328" s="10"/>
      <c r="I328" s="10"/>
      <c r="J328" s="65"/>
      <c r="K328" s="10"/>
      <c r="L328" s="74"/>
      <c r="M328" s="257"/>
      <c r="N328" s="257"/>
      <c r="O328" s="257"/>
      <c r="P328" s="257"/>
      <c r="Q328" s="257"/>
      <c r="R328" s="152"/>
      <c r="S328" s="152"/>
      <c r="T328" s="152"/>
      <c r="U328" s="152"/>
      <c r="V328" s="152"/>
      <c r="W328" s="152"/>
      <c r="X328" s="152"/>
    </row>
    <row r="329" spans="1:30" outlineLevel="1" x14ac:dyDescent="0.3">
      <c r="A329" s="436"/>
      <c r="B329" s="152"/>
      <c r="C329" s="150" t="s">
        <v>350</v>
      </c>
      <c r="D329" s="244"/>
      <c r="E329" s="178" t="s">
        <v>14</v>
      </c>
      <c r="F329" s="5"/>
      <c r="G329" s="5"/>
      <c r="H329" s="441"/>
      <c r="I329" s="441"/>
      <c r="J329" s="450"/>
      <c r="K329" s="441"/>
      <c r="L329" s="451"/>
      <c r="M329" s="442"/>
      <c r="N329" s="442"/>
      <c r="O329" s="442"/>
      <c r="P329" s="442"/>
      <c r="Q329" s="442"/>
      <c r="R329" s="152"/>
      <c r="S329" s="152"/>
      <c r="T329" s="152"/>
      <c r="U329" s="152"/>
      <c r="V329" s="152"/>
      <c r="W329" s="152"/>
      <c r="X329" s="152"/>
    </row>
    <row r="330" spans="1:30" outlineLevel="1" x14ac:dyDescent="0.3">
      <c r="A330" s="436"/>
      <c r="B330" s="152"/>
      <c r="C330" s="22" t="s">
        <v>351</v>
      </c>
      <c r="D330" s="152"/>
      <c r="E330" s="175" t="s">
        <v>14</v>
      </c>
      <c r="F330" s="4"/>
      <c r="G330" s="4"/>
      <c r="H330" s="10"/>
      <c r="I330" s="10"/>
      <c r="J330" s="65"/>
      <c r="K330" s="10"/>
      <c r="L330" s="74"/>
      <c r="M330" s="443"/>
      <c r="N330" s="443"/>
      <c r="O330" s="443"/>
      <c r="P330" s="443"/>
      <c r="Q330" s="443"/>
      <c r="R330" s="152"/>
      <c r="S330" s="152"/>
      <c r="T330" s="152"/>
      <c r="U330" s="152"/>
      <c r="V330" s="152"/>
      <c r="W330" s="152"/>
      <c r="X330" s="152"/>
    </row>
    <row r="331" spans="1:30" outlineLevel="1" x14ac:dyDescent="0.3">
      <c r="A331" s="436"/>
      <c r="B331" s="152"/>
      <c r="C331" s="148"/>
      <c r="D331" s="152"/>
      <c r="E331" s="4"/>
      <c r="F331" s="4"/>
      <c r="G331" s="4"/>
      <c r="H331" s="10"/>
      <c r="I331" s="10"/>
      <c r="J331" s="65"/>
      <c r="K331" s="10"/>
      <c r="L331" s="74"/>
      <c r="M331" s="257"/>
      <c r="N331" s="257"/>
      <c r="O331" s="257"/>
      <c r="P331" s="257"/>
      <c r="Q331" s="257"/>
      <c r="R331" s="152"/>
      <c r="S331" s="152"/>
      <c r="T331" s="152"/>
      <c r="U331" s="152"/>
      <c r="V331" s="152"/>
      <c r="W331" s="152"/>
      <c r="X331" s="152"/>
    </row>
    <row r="332" spans="1:30" outlineLevel="1" x14ac:dyDescent="0.3">
      <c r="A332" s="436"/>
      <c r="B332" s="152"/>
      <c r="C332" s="3" t="s">
        <v>352</v>
      </c>
      <c r="D332" s="152"/>
      <c r="E332" s="175" t="s">
        <v>14</v>
      </c>
      <c r="F332" s="4"/>
      <c r="G332" s="4"/>
      <c r="H332" s="10"/>
      <c r="I332" s="10"/>
      <c r="J332" s="65"/>
      <c r="K332" s="10"/>
      <c r="L332" s="74"/>
      <c r="M332" s="443"/>
      <c r="N332" s="443"/>
      <c r="O332" s="443"/>
      <c r="P332" s="443"/>
      <c r="Q332" s="443"/>
      <c r="R332" s="152"/>
      <c r="S332" s="152"/>
      <c r="T332" s="152"/>
      <c r="U332" s="152"/>
      <c r="V332" s="152"/>
      <c r="W332" s="152"/>
      <c r="X332" s="152"/>
    </row>
    <row r="333" spans="1:30" outlineLevel="1" x14ac:dyDescent="0.3">
      <c r="A333" s="436"/>
      <c r="B333" s="152"/>
      <c r="C333" s="148"/>
      <c r="D333" s="152"/>
      <c r="E333" s="4"/>
      <c r="F333" s="4"/>
      <c r="G333" s="4"/>
      <c r="H333" s="10"/>
      <c r="I333" s="10"/>
      <c r="J333" s="65"/>
      <c r="K333" s="10"/>
      <c r="L333" s="74"/>
      <c r="M333" s="257"/>
      <c r="N333" s="257"/>
      <c r="O333" s="257"/>
      <c r="P333" s="257"/>
      <c r="Q333" s="257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52"/>
    </row>
    <row r="334" spans="1:30" outlineLevel="1" x14ac:dyDescent="0.3">
      <c r="A334" s="436"/>
      <c r="B334" s="152"/>
      <c r="C334" s="3" t="s">
        <v>353</v>
      </c>
      <c r="D334" s="152"/>
      <c r="E334" s="175" t="s">
        <v>14</v>
      </c>
      <c r="F334" s="4"/>
      <c r="G334" s="4"/>
      <c r="H334" s="10"/>
      <c r="I334" s="10"/>
      <c r="J334" s="65"/>
      <c r="K334" s="10"/>
      <c r="L334" s="74"/>
      <c r="M334" s="443"/>
      <c r="N334" s="443"/>
      <c r="O334" s="443"/>
      <c r="P334" s="443"/>
      <c r="Q334" s="443"/>
      <c r="R334" s="152"/>
      <c r="S334" s="152"/>
      <c r="T334" s="152"/>
      <c r="U334" s="152"/>
      <c r="V334" s="152"/>
      <c r="W334" s="152"/>
      <c r="X334" s="152"/>
      <c r="Y334" s="152"/>
      <c r="Z334" s="152"/>
      <c r="AA334" s="152"/>
      <c r="AB334" s="152"/>
      <c r="AC334" s="152"/>
      <c r="AD334" s="152"/>
    </row>
    <row r="335" spans="1:30" outlineLevel="1" x14ac:dyDescent="0.3">
      <c r="A335" s="436"/>
      <c r="B335" s="152"/>
      <c r="C335" s="148"/>
      <c r="D335" s="152"/>
      <c r="E335" s="4"/>
      <c r="F335" s="4"/>
      <c r="G335" s="4"/>
      <c r="H335" s="10"/>
      <c r="I335" s="10"/>
      <c r="J335" s="65"/>
      <c r="K335" s="10"/>
      <c r="L335" s="74"/>
      <c r="M335" s="257"/>
      <c r="N335" s="257"/>
      <c r="O335" s="257"/>
      <c r="P335" s="257"/>
      <c r="Q335" s="257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</row>
    <row r="336" spans="1:30" outlineLevel="1" x14ac:dyDescent="0.3">
      <c r="A336" s="436"/>
      <c r="B336" s="152"/>
      <c r="C336" s="148" t="s">
        <v>354</v>
      </c>
      <c r="D336" s="152"/>
      <c r="E336" s="175" t="s">
        <v>14</v>
      </c>
      <c r="F336" s="4"/>
      <c r="G336" s="4"/>
      <c r="H336" s="10"/>
      <c r="I336" s="10"/>
      <c r="J336" s="65"/>
      <c r="K336" s="10"/>
      <c r="L336" s="74"/>
      <c r="M336" s="257"/>
      <c r="N336" s="257"/>
      <c r="O336" s="257"/>
      <c r="P336" s="257"/>
      <c r="Q336" s="257"/>
      <c r="R336" s="152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  <c r="AD336" s="152"/>
    </row>
    <row r="337" spans="1:30" x14ac:dyDescent="0.3">
      <c r="A337" s="436"/>
      <c r="B337" s="152"/>
      <c r="C337" s="222"/>
      <c r="D337" s="152"/>
      <c r="E337" s="4"/>
      <c r="F337" s="4"/>
      <c r="G337" s="4"/>
      <c r="H337" s="10"/>
      <c r="I337" s="10"/>
      <c r="J337" s="10"/>
      <c r="K337" s="10"/>
      <c r="L337" s="10"/>
      <c r="M337" s="257"/>
      <c r="N337" s="257"/>
      <c r="O337" s="257"/>
      <c r="P337" s="257"/>
      <c r="Q337" s="257"/>
      <c r="R337" s="152"/>
      <c r="S337" s="152"/>
      <c r="T337" s="152"/>
      <c r="U337" s="152"/>
      <c r="V337" s="152"/>
      <c r="W337" s="152"/>
      <c r="X337" s="152"/>
      <c r="Y337" s="152"/>
      <c r="Z337" s="152"/>
      <c r="AA337" s="152"/>
      <c r="AB337" s="152"/>
      <c r="AC337" s="152"/>
      <c r="AD337" s="152"/>
    </row>
    <row r="338" spans="1:30" x14ac:dyDescent="0.3">
      <c r="A338" s="152"/>
      <c r="B338" s="172"/>
      <c r="C338" s="172"/>
      <c r="D338" s="172"/>
      <c r="E338" s="169"/>
      <c r="F338" s="157" t="str">
        <f>$F$131</f>
        <v>Historical</v>
      </c>
      <c r="G338" s="158"/>
      <c r="H338" s="159"/>
      <c r="I338" s="159"/>
      <c r="J338" s="165" t="str">
        <f>$J$131</f>
        <v>Transaction Adjustments</v>
      </c>
      <c r="K338" s="166"/>
      <c r="L338" s="167"/>
      <c r="M338" s="157" t="str">
        <f>$M$131</f>
        <v>Projected</v>
      </c>
      <c r="N338" s="158"/>
      <c r="O338" s="158"/>
      <c r="P338" s="158"/>
      <c r="Q338" s="159"/>
      <c r="R338" s="152"/>
      <c r="S338" s="152"/>
      <c r="T338" s="152"/>
      <c r="U338" s="152"/>
      <c r="V338" s="152"/>
      <c r="W338" s="152"/>
      <c r="X338" s="152"/>
      <c r="Y338" s="152"/>
      <c r="Z338" s="152"/>
      <c r="AA338" s="152"/>
      <c r="AB338" s="152"/>
      <c r="AC338" s="152"/>
      <c r="AD338" s="152"/>
    </row>
    <row r="339" spans="1:30" x14ac:dyDescent="0.3">
      <c r="A339" s="152"/>
      <c r="B339" s="173" t="s">
        <v>48</v>
      </c>
      <c r="C339" s="360"/>
      <c r="D339" s="360"/>
      <c r="E339" s="170" t="str">
        <f>$E$132</f>
        <v>Units</v>
      </c>
      <c r="F339" s="160">
        <f>$F$132</f>
        <v>40543</v>
      </c>
      <c r="G339" s="161">
        <f>$G$132</f>
        <v>40908</v>
      </c>
      <c r="H339" s="161">
        <f>$H$132</f>
        <v>41274</v>
      </c>
      <c r="I339" s="162">
        <f>$I$132</f>
        <v>41639</v>
      </c>
      <c r="J339" s="164" t="str">
        <f>$J$132</f>
        <v xml:space="preserve">Debit </v>
      </c>
      <c r="K339" s="164" t="str">
        <f>$K$132</f>
        <v>Credit</v>
      </c>
      <c r="L339" s="168">
        <f>$L$132</f>
        <v>41639</v>
      </c>
      <c r="M339" s="160">
        <f>$M$132</f>
        <v>42004</v>
      </c>
      <c r="N339" s="161">
        <f>$N$132</f>
        <v>42369</v>
      </c>
      <c r="O339" s="161">
        <f>$O$132</f>
        <v>42735</v>
      </c>
      <c r="P339" s="160">
        <f>$P$132</f>
        <v>43100</v>
      </c>
      <c r="Q339" s="163">
        <f>$Q$132</f>
        <v>43465</v>
      </c>
      <c r="R339" s="152"/>
    </row>
    <row r="340" spans="1:30" outlineLevel="1" x14ac:dyDescent="0.3">
      <c r="A340" s="152"/>
      <c r="B340" s="152"/>
      <c r="C340" s="406" t="s">
        <v>49</v>
      </c>
      <c r="D340" s="407"/>
      <c r="F340" s="338"/>
      <c r="G340" s="2"/>
      <c r="H340" s="185"/>
      <c r="I340" s="185"/>
      <c r="J340" s="276"/>
      <c r="K340" s="242"/>
      <c r="L340" s="277"/>
      <c r="M340" s="185"/>
      <c r="N340" s="185"/>
      <c r="O340" s="185"/>
      <c r="P340" s="185"/>
      <c r="Q340" s="185"/>
      <c r="R340" s="152"/>
    </row>
    <row r="341" spans="1:30" outlineLevel="1" x14ac:dyDescent="0.3">
      <c r="A341" s="152"/>
      <c r="B341" s="152"/>
      <c r="C341" s="134" t="s">
        <v>51</v>
      </c>
      <c r="D341" s="152"/>
      <c r="E341" s="5"/>
      <c r="F341" s="5"/>
      <c r="G341" s="5"/>
      <c r="H341" s="301"/>
      <c r="I341" s="301"/>
      <c r="J341" s="302"/>
      <c r="K341" s="301"/>
      <c r="L341" s="303"/>
      <c r="M341" s="301"/>
      <c r="N341" s="301"/>
      <c r="O341" s="301"/>
      <c r="P341" s="301"/>
      <c r="Q341" s="301"/>
      <c r="R341" s="152"/>
    </row>
    <row r="342" spans="1:30" outlineLevel="1" x14ac:dyDescent="0.3">
      <c r="A342" s="152"/>
      <c r="B342" s="152"/>
      <c r="C342" s="304" t="s">
        <v>56</v>
      </c>
      <c r="D342" s="304"/>
      <c r="E342" s="182" t="s">
        <v>14</v>
      </c>
      <c r="F342" s="135">
        <f>+F451</f>
        <v>19.269000000000045</v>
      </c>
      <c r="G342" s="135">
        <f t="shared" ref="G342:I342" si="110">+G451</f>
        <v>18.673000000000041</v>
      </c>
      <c r="H342" s="135">
        <f t="shared" si="110"/>
        <v>19.636000000000035</v>
      </c>
      <c r="I342" s="135">
        <f t="shared" si="110"/>
        <v>20.686000000000075</v>
      </c>
      <c r="J342" s="141">
        <v>0</v>
      </c>
      <c r="K342" s="135">
        <f>-F101</f>
        <v>0</v>
      </c>
      <c r="L342" s="136">
        <f>+I342+J342+K342</f>
        <v>20.686000000000075</v>
      </c>
      <c r="M342" s="135">
        <f>+M451</f>
        <v>78.503853195997408</v>
      </c>
      <c r="N342" s="135">
        <f t="shared" ref="N342:Q342" si="111">+N451</f>
        <v>144.25984333289611</v>
      </c>
      <c r="O342" s="135">
        <f t="shared" si="111"/>
        <v>208.32178701283738</v>
      </c>
      <c r="P342" s="135">
        <f t="shared" si="111"/>
        <v>267.61068763108653</v>
      </c>
      <c r="Q342" s="135">
        <f t="shared" si="111"/>
        <v>325.39656445238091</v>
      </c>
      <c r="R342" s="152"/>
    </row>
    <row r="343" spans="1:30" outlineLevel="1" x14ac:dyDescent="0.3">
      <c r="A343" s="152"/>
      <c r="B343" s="152"/>
      <c r="C343" s="382" t="s">
        <v>57</v>
      </c>
      <c r="D343" s="239"/>
      <c r="E343" s="383" t="s">
        <v>14</v>
      </c>
      <c r="F343" s="374">
        <v>32.237000000000002</v>
      </c>
      <c r="G343" s="374">
        <v>24.253</v>
      </c>
      <c r="H343" s="374">
        <v>26.411000000000001</v>
      </c>
      <c r="I343" s="374">
        <v>24.881</v>
      </c>
      <c r="J343" s="386">
        <v>0</v>
      </c>
      <c r="K343" s="374">
        <v>0</v>
      </c>
      <c r="L343" s="376">
        <f t="shared" ref="L343:L346" si="112">+I343+J343+K343</f>
        <v>24.881</v>
      </c>
      <c r="M343" s="377">
        <f>+M267*M228</f>
        <v>27.90140886861354</v>
      </c>
      <c r="N343" s="377">
        <f t="shared" ref="N343:Q343" si="113">+N267*N228</f>
        <v>28.671145786306102</v>
      </c>
      <c r="O343" s="377">
        <f t="shared" si="113"/>
        <v>29.452920632173676</v>
      </c>
      <c r="P343" s="377">
        <f t="shared" si="113"/>
        <v>30.246915600826529</v>
      </c>
      <c r="Q343" s="377">
        <f t="shared" si="113"/>
        <v>31.053315017009272</v>
      </c>
      <c r="R343" s="152"/>
    </row>
    <row r="344" spans="1:30" outlineLevel="1" x14ac:dyDescent="0.3">
      <c r="A344" s="152"/>
      <c r="B344" s="152"/>
      <c r="C344" s="382" t="s">
        <v>58</v>
      </c>
      <c r="D344" s="239"/>
      <c r="E344" s="383" t="s">
        <v>14</v>
      </c>
      <c r="F344" s="374">
        <v>18.484999999999999</v>
      </c>
      <c r="G344" s="374">
        <v>18.658999999999999</v>
      </c>
      <c r="H344" s="374">
        <v>18.957000000000001</v>
      </c>
      <c r="I344" s="374">
        <v>19.25</v>
      </c>
      <c r="J344" s="386">
        <v>0</v>
      </c>
      <c r="K344" s="374">
        <v>0</v>
      </c>
      <c r="L344" s="376">
        <f t="shared" si="112"/>
        <v>19.25</v>
      </c>
      <c r="M344" s="377">
        <f>+M273*M229</f>
        <v>19.760736318102019</v>
      </c>
      <c r="N344" s="377">
        <f t="shared" ref="N344:Q344" si="114">+N273*N229</f>
        <v>20.272911558073883</v>
      </c>
      <c r="O344" s="377">
        <f t="shared" si="114"/>
        <v>20.781617070894686</v>
      </c>
      <c r="P344" s="377">
        <f t="shared" si="114"/>
        <v>21.45997064003733</v>
      </c>
      <c r="Q344" s="377">
        <f t="shared" si="114"/>
        <v>22.149879739882749</v>
      </c>
      <c r="R344" s="152"/>
    </row>
    <row r="345" spans="1:30" outlineLevel="1" x14ac:dyDescent="0.3">
      <c r="A345" s="152"/>
      <c r="B345" s="152"/>
      <c r="C345" s="382" t="s">
        <v>59</v>
      </c>
      <c r="D345" s="239"/>
      <c r="E345" s="383" t="s">
        <v>14</v>
      </c>
      <c r="F345" s="374">
        <v>13.942</v>
      </c>
      <c r="G345" s="374">
        <v>15.436</v>
      </c>
      <c r="H345" s="374">
        <v>18.170999999999999</v>
      </c>
      <c r="I345" s="374">
        <v>20.111000000000001</v>
      </c>
      <c r="J345" s="386">
        <v>0</v>
      </c>
      <c r="K345" s="374">
        <v>0</v>
      </c>
      <c r="L345" s="376">
        <f t="shared" si="112"/>
        <v>20.111000000000001</v>
      </c>
      <c r="M345" s="377">
        <f>+M295*M230</f>
        <v>21.905160973365636</v>
      </c>
      <c r="N345" s="377">
        <f t="shared" ref="N345:Q345" si="115">+N295*N230</f>
        <v>23.869836288328944</v>
      </c>
      <c r="O345" s="377">
        <f t="shared" si="115"/>
        <v>25.884920491377859</v>
      </c>
      <c r="P345" s="377">
        <f t="shared" si="115"/>
        <v>28.03571492734703</v>
      </c>
      <c r="Q345" s="377">
        <f t="shared" si="115"/>
        <v>30.194311552375282</v>
      </c>
      <c r="R345" s="152"/>
    </row>
    <row r="346" spans="1:30" outlineLevel="1" x14ac:dyDescent="0.3">
      <c r="A346" s="152"/>
      <c r="B346" s="152"/>
      <c r="C346" s="304" t="s">
        <v>294</v>
      </c>
      <c r="D346" s="304"/>
      <c r="E346" s="182" t="s">
        <v>14</v>
      </c>
      <c r="F346" s="121">
        <v>3.42</v>
      </c>
      <c r="G346" s="121">
        <v>3.66</v>
      </c>
      <c r="H346" s="121">
        <v>2.8839999999999999</v>
      </c>
      <c r="I346" s="121">
        <v>2.0910000000000002</v>
      </c>
      <c r="J346" s="612">
        <v>0</v>
      </c>
      <c r="K346" s="123">
        <f>-F124</f>
        <v>-2.0910000000000002</v>
      </c>
      <c r="L346" s="122">
        <f t="shared" si="112"/>
        <v>0</v>
      </c>
      <c r="M346" s="123">
        <f>+L346-M407</f>
        <v>0</v>
      </c>
      <c r="N346" s="123">
        <f>+M346-N407</f>
        <v>0</v>
      </c>
      <c r="O346" s="123">
        <f t="shared" ref="O346:Q346" si="116">+N346-O407</f>
        <v>0</v>
      </c>
      <c r="P346" s="123">
        <f t="shared" si="116"/>
        <v>0</v>
      </c>
      <c r="Q346" s="123">
        <f t="shared" si="116"/>
        <v>0</v>
      </c>
      <c r="R346" s="152"/>
    </row>
    <row r="347" spans="1:30" outlineLevel="1" x14ac:dyDescent="0.3">
      <c r="A347" s="152"/>
      <c r="B347" s="152"/>
      <c r="C347" s="8" t="s">
        <v>52</v>
      </c>
      <c r="D347" s="8"/>
      <c r="E347" s="177" t="s">
        <v>14</v>
      </c>
      <c r="F347" s="31">
        <f>SUM(F342:F346)</f>
        <v>87.353000000000051</v>
      </c>
      <c r="G347" s="31">
        <f>SUM(G342:G346)</f>
        <v>80.68100000000004</v>
      </c>
      <c r="H347" s="31">
        <f>SUM(H342:H346)</f>
        <v>86.05900000000004</v>
      </c>
      <c r="I347" s="31">
        <f>SUM(I342:I346)</f>
        <v>87.019000000000077</v>
      </c>
      <c r="J347" s="85"/>
      <c r="K347" s="31"/>
      <c r="L347" s="88">
        <f>SUM(L342:L346)</f>
        <v>84.928000000000083</v>
      </c>
      <c r="M347" s="31">
        <f>SUM(M342:M346)</f>
        <v>148.0711593560786</v>
      </c>
      <c r="N347" s="31">
        <f t="shared" ref="N347:Q347" si="117">SUM(N342:N346)</f>
        <v>217.07373696560504</v>
      </c>
      <c r="O347" s="31">
        <f t="shared" si="117"/>
        <v>284.4412452072836</v>
      </c>
      <c r="P347" s="31">
        <f t="shared" si="117"/>
        <v>347.35328879929745</v>
      </c>
      <c r="Q347" s="31">
        <f t="shared" si="117"/>
        <v>408.79407076164819</v>
      </c>
      <c r="R347" s="152"/>
    </row>
    <row r="348" spans="1:30" outlineLevel="1" x14ac:dyDescent="0.3">
      <c r="A348" s="152"/>
      <c r="B348" s="152"/>
      <c r="C348" s="7"/>
      <c r="D348" s="152"/>
      <c r="E348" s="175"/>
      <c r="F348" s="146"/>
      <c r="G348" s="146"/>
      <c r="H348" s="146"/>
      <c r="I348" s="146"/>
      <c r="J348" s="363"/>
      <c r="K348" s="146"/>
      <c r="L348" s="370"/>
      <c r="M348" s="146"/>
      <c r="N348" s="146"/>
      <c r="O348" s="146"/>
      <c r="P348" s="146"/>
      <c r="Q348" s="146"/>
      <c r="R348" s="152"/>
    </row>
    <row r="349" spans="1:30" outlineLevel="1" x14ac:dyDescent="0.3">
      <c r="A349" s="152"/>
      <c r="B349" s="152"/>
      <c r="C349" s="134" t="s">
        <v>292</v>
      </c>
      <c r="D349" s="244"/>
      <c r="E349" s="178"/>
      <c r="F349" s="142"/>
      <c r="G349" s="142"/>
      <c r="H349" s="142"/>
      <c r="I349" s="142"/>
      <c r="J349" s="364"/>
      <c r="K349" s="142"/>
      <c r="L349" s="371"/>
      <c r="M349" s="142"/>
      <c r="N349" s="142"/>
      <c r="O349" s="142"/>
      <c r="P349" s="142"/>
      <c r="Q349" s="142"/>
      <c r="R349" s="152"/>
    </row>
    <row r="350" spans="1:30" outlineLevel="1" x14ac:dyDescent="0.3">
      <c r="A350" s="152"/>
      <c r="B350" s="152"/>
      <c r="C350" s="305" t="s">
        <v>54</v>
      </c>
      <c r="D350" s="305"/>
      <c r="E350" s="339" t="s">
        <v>14</v>
      </c>
      <c r="F350" s="111">
        <v>683.19200000000001</v>
      </c>
      <c r="G350" s="111">
        <v>683.39</v>
      </c>
      <c r="H350" s="111">
        <v>703.95600000000002</v>
      </c>
      <c r="I350" s="111">
        <v>691.45399999999995</v>
      </c>
      <c r="J350" s="144">
        <f>+PPE_Writeup</f>
        <v>27.658159999999999</v>
      </c>
      <c r="K350" s="111">
        <v>0</v>
      </c>
      <c r="L350" s="118">
        <f t="shared" ref="L350:L354" si="118">+I350+J350+K350</f>
        <v>719.1121599999999</v>
      </c>
      <c r="M350" s="113">
        <f>+L350-M401-M402-M409-M424-M425</f>
        <v>729.84940088185249</v>
      </c>
      <c r="N350" s="113">
        <f t="shared" ref="N350:Q350" si="119">+M350-N401-N402-N409-N424-N425</f>
        <v>737.52569798862703</v>
      </c>
      <c r="O350" s="113">
        <f t="shared" si="119"/>
        <v>749.20261949522808</v>
      </c>
      <c r="P350" s="113">
        <f t="shared" si="119"/>
        <v>767.1420186226261</v>
      </c>
      <c r="Q350" s="113">
        <f t="shared" si="119"/>
        <v>788.40153276620072</v>
      </c>
      <c r="R350" s="152"/>
    </row>
    <row r="351" spans="1:30" outlineLevel="1" x14ac:dyDescent="0.3">
      <c r="A351" s="152"/>
      <c r="B351" s="152"/>
      <c r="C351" s="305" t="s">
        <v>182</v>
      </c>
      <c r="D351" s="305"/>
      <c r="E351" s="180" t="s">
        <v>14</v>
      </c>
      <c r="F351" s="130">
        <v>0</v>
      </c>
      <c r="G351" s="130">
        <v>0</v>
      </c>
      <c r="H351" s="130">
        <v>0</v>
      </c>
      <c r="I351" s="130">
        <v>0</v>
      </c>
      <c r="J351" s="144">
        <f>+F126</f>
        <v>459.09701612302842</v>
      </c>
      <c r="K351" s="116">
        <f>-F118</f>
        <v>0</v>
      </c>
      <c r="L351" s="118">
        <f t="shared" si="118"/>
        <v>459.09701612302842</v>
      </c>
      <c r="M351" s="137">
        <f>+L351-M410</f>
        <v>459.09701612302842</v>
      </c>
      <c r="N351" s="137">
        <f t="shared" ref="N351:Q351" si="120">+M351-N410</f>
        <v>459.09701612302842</v>
      </c>
      <c r="O351" s="137">
        <f t="shared" si="120"/>
        <v>459.09701612302842</v>
      </c>
      <c r="P351" s="137">
        <f t="shared" si="120"/>
        <v>459.09701612302842</v>
      </c>
      <c r="Q351" s="137">
        <f t="shared" si="120"/>
        <v>459.09701612302842</v>
      </c>
      <c r="R351" s="152"/>
    </row>
    <row r="352" spans="1:30" outlineLevel="1" x14ac:dyDescent="0.3">
      <c r="A352" s="152"/>
      <c r="B352" s="152"/>
      <c r="C352" s="305" t="s">
        <v>183</v>
      </c>
      <c r="D352" s="305"/>
      <c r="E352" s="180" t="s">
        <v>14</v>
      </c>
      <c r="F352" s="130">
        <v>0</v>
      </c>
      <c r="G352" s="130">
        <v>0</v>
      </c>
      <c r="H352" s="130">
        <v>0</v>
      </c>
      <c r="I352" s="130">
        <v>0</v>
      </c>
      <c r="J352" s="144">
        <f>-F122</f>
        <v>414.14615345199996</v>
      </c>
      <c r="K352" s="111">
        <v>0</v>
      </c>
      <c r="L352" s="118">
        <f t="shared" si="118"/>
        <v>414.14615345199996</v>
      </c>
      <c r="M352" s="137">
        <f>+L352-M403</f>
        <v>414.14615345199996</v>
      </c>
      <c r="N352" s="137">
        <f t="shared" ref="N352:Q352" si="121">+M352-N403</f>
        <v>414.14615345199996</v>
      </c>
      <c r="O352" s="137">
        <f t="shared" si="121"/>
        <v>414.14615345199996</v>
      </c>
      <c r="P352" s="137">
        <f t="shared" si="121"/>
        <v>414.14615345199996</v>
      </c>
      <c r="Q352" s="137">
        <f t="shared" si="121"/>
        <v>414.14615345199996</v>
      </c>
      <c r="R352" s="331"/>
    </row>
    <row r="353" spans="1:18" outlineLevel="1" x14ac:dyDescent="0.3">
      <c r="A353" s="152"/>
      <c r="B353" s="152"/>
      <c r="C353" s="307" t="s">
        <v>135</v>
      </c>
      <c r="D353" s="307"/>
      <c r="E353" s="181" t="s">
        <v>14</v>
      </c>
      <c r="F353" s="114">
        <v>0</v>
      </c>
      <c r="G353" s="114">
        <v>0</v>
      </c>
      <c r="H353" s="114">
        <v>0</v>
      </c>
      <c r="I353" s="114">
        <v>0</v>
      </c>
      <c r="J353" s="145">
        <f>+M99</f>
        <v>27.8</v>
      </c>
      <c r="K353" s="114">
        <v>0</v>
      </c>
      <c r="L353" s="119">
        <f t="shared" si="118"/>
        <v>27.8</v>
      </c>
      <c r="M353" s="138">
        <f>+L353-M404</f>
        <v>27.8</v>
      </c>
      <c r="N353" s="138">
        <f t="shared" ref="N353:Q353" si="122">+M353-N404</f>
        <v>27.8</v>
      </c>
      <c r="O353" s="138">
        <f t="shared" si="122"/>
        <v>27.8</v>
      </c>
      <c r="P353" s="138">
        <f t="shared" si="122"/>
        <v>27.8</v>
      </c>
      <c r="Q353" s="138">
        <f t="shared" si="122"/>
        <v>27.8</v>
      </c>
      <c r="R353" s="152"/>
    </row>
    <row r="354" spans="1:18" outlineLevel="1" x14ac:dyDescent="0.3">
      <c r="A354" s="152"/>
      <c r="B354" s="152"/>
      <c r="C354" s="382" t="s">
        <v>55</v>
      </c>
      <c r="D354" s="239"/>
      <c r="E354" s="414" t="s">
        <v>14</v>
      </c>
      <c r="F354" s="385">
        <v>7.484</v>
      </c>
      <c r="G354" s="385">
        <v>8.4</v>
      </c>
      <c r="H354" s="385">
        <v>11.791</v>
      </c>
      <c r="I354" s="385">
        <v>13.138</v>
      </c>
      <c r="J354" s="386">
        <v>0</v>
      </c>
      <c r="K354" s="374">
        <v>0</v>
      </c>
      <c r="L354" s="376">
        <f t="shared" si="118"/>
        <v>13.138</v>
      </c>
      <c r="M354" s="415">
        <f>+L354-M411</f>
        <v>11.3545</v>
      </c>
      <c r="N354" s="415">
        <f t="shared" ref="N354:Q354" si="123">+M354-N411</f>
        <v>9.5709999999999997</v>
      </c>
      <c r="O354" s="415">
        <f t="shared" si="123"/>
        <v>7.7874999999999996</v>
      </c>
      <c r="P354" s="415">
        <f t="shared" si="123"/>
        <v>6.0039999999999996</v>
      </c>
      <c r="Q354" s="415">
        <f t="shared" si="123"/>
        <v>4.2204999999999995</v>
      </c>
      <c r="R354" s="222"/>
    </row>
    <row r="355" spans="1:18" outlineLevel="1" x14ac:dyDescent="0.3">
      <c r="A355" s="152"/>
      <c r="B355" s="152"/>
      <c r="C355" s="35" t="s">
        <v>293</v>
      </c>
      <c r="D355" s="365"/>
      <c r="E355" s="174" t="s">
        <v>14</v>
      </c>
      <c r="F355" s="36">
        <f>SUM(F350:F354)</f>
        <v>690.67600000000004</v>
      </c>
      <c r="G355" s="36">
        <f t="shared" ref="G355:I355" si="124">SUM(G350:G354)</f>
        <v>691.79</v>
      </c>
      <c r="H355" s="36">
        <f t="shared" si="124"/>
        <v>715.74700000000007</v>
      </c>
      <c r="I355" s="36">
        <f t="shared" si="124"/>
        <v>704.59199999999998</v>
      </c>
      <c r="J355" s="367"/>
      <c r="K355" s="366"/>
      <c r="L355" s="369">
        <f>SUM(L350:L354)</f>
        <v>1633.2933295750281</v>
      </c>
      <c r="M355" s="36">
        <f>SUM(M350:M354)</f>
        <v>1642.2470704568807</v>
      </c>
      <c r="N355" s="36">
        <f t="shared" ref="N355:Q355" si="125">SUM(N350:N354)</f>
        <v>1648.1398675636553</v>
      </c>
      <c r="O355" s="36">
        <f t="shared" si="125"/>
        <v>1658.0332890702564</v>
      </c>
      <c r="P355" s="36">
        <f t="shared" si="125"/>
        <v>1674.1891881976542</v>
      </c>
      <c r="Q355" s="36">
        <f t="shared" si="125"/>
        <v>1693.6652023412289</v>
      </c>
      <c r="R355" s="222"/>
    </row>
    <row r="356" spans="1:18" outlineLevel="1" x14ac:dyDescent="0.3">
      <c r="A356" s="152"/>
      <c r="B356" s="152"/>
      <c r="C356" s="240"/>
      <c r="D356" s="222"/>
      <c r="E356" s="175"/>
      <c r="F356" s="29"/>
      <c r="G356" s="29"/>
      <c r="H356" s="29"/>
      <c r="I356" s="29"/>
      <c r="J356" s="84"/>
      <c r="K356" s="29"/>
      <c r="L356" s="143"/>
      <c r="M356" s="33"/>
      <c r="N356" s="33"/>
      <c r="O356" s="33"/>
      <c r="P356" s="33"/>
      <c r="Q356" s="33"/>
      <c r="R356" s="222"/>
    </row>
    <row r="357" spans="1:18" outlineLevel="1" x14ac:dyDescent="0.3">
      <c r="A357" s="152"/>
      <c r="B357" s="152"/>
      <c r="C357" s="7" t="s">
        <v>53</v>
      </c>
      <c r="D357" s="152"/>
      <c r="E357" s="175" t="s">
        <v>14</v>
      </c>
      <c r="F357" s="368">
        <f>+F347+F355</f>
        <v>778.02900000000011</v>
      </c>
      <c r="G357" s="368">
        <f t="shared" ref="G357:I357" si="126">+G347+G355</f>
        <v>772.471</v>
      </c>
      <c r="H357" s="368">
        <f t="shared" si="126"/>
        <v>801.80600000000015</v>
      </c>
      <c r="I357" s="368">
        <f t="shared" si="126"/>
        <v>791.6110000000001</v>
      </c>
      <c r="J357" s="105"/>
      <c r="K357" s="368"/>
      <c r="L357" s="108">
        <f t="shared" ref="L357:M357" si="127">+L347+L355</f>
        <v>1718.2213295750282</v>
      </c>
      <c r="M357" s="368">
        <f t="shared" si="127"/>
        <v>1790.3182298129593</v>
      </c>
      <c r="N357" s="368">
        <f t="shared" ref="N357:Q357" si="128">+N347+N355</f>
        <v>1865.2136045292605</v>
      </c>
      <c r="O357" s="368">
        <f t="shared" si="128"/>
        <v>1942.47453427754</v>
      </c>
      <c r="P357" s="368">
        <f t="shared" si="128"/>
        <v>2021.5424769969516</v>
      </c>
      <c r="Q357" s="368">
        <f t="shared" si="128"/>
        <v>2102.459273102877</v>
      </c>
      <c r="R357" s="152"/>
    </row>
    <row r="358" spans="1:18" outlineLevel="1" x14ac:dyDescent="0.3">
      <c r="A358" s="152"/>
      <c r="B358" s="152"/>
      <c r="C358" s="152"/>
      <c r="D358" s="152"/>
      <c r="G358" s="2"/>
      <c r="H358" s="185"/>
      <c r="I358" s="185"/>
      <c r="J358" s="264"/>
      <c r="K358" s="223"/>
      <c r="L358" s="265"/>
      <c r="M358" s="43"/>
      <c r="N358" s="43"/>
      <c r="O358" s="43"/>
      <c r="P358" s="43"/>
      <c r="Q358" s="43"/>
      <c r="R358" s="152"/>
    </row>
    <row r="359" spans="1:18" outlineLevel="1" x14ac:dyDescent="0.3">
      <c r="A359" s="152"/>
      <c r="B359" s="152"/>
      <c r="C359" s="406" t="s">
        <v>50</v>
      </c>
      <c r="D359" s="407"/>
      <c r="G359" s="2"/>
      <c r="H359" s="185" t="s">
        <v>47</v>
      </c>
      <c r="I359" s="185"/>
      <c r="J359" s="264"/>
      <c r="K359" s="223"/>
      <c r="L359" s="265"/>
      <c r="M359" s="43"/>
      <c r="N359" s="43"/>
      <c r="O359" s="43"/>
      <c r="P359" s="43"/>
      <c r="Q359" s="43"/>
      <c r="R359" s="152"/>
    </row>
    <row r="360" spans="1:18" outlineLevel="1" x14ac:dyDescent="0.3">
      <c r="A360" s="152"/>
      <c r="B360" s="152"/>
      <c r="C360" s="3" t="s">
        <v>295</v>
      </c>
      <c r="D360" s="152"/>
      <c r="G360" s="2"/>
      <c r="H360" s="152"/>
      <c r="I360" s="185" t="s">
        <v>47</v>
      </c>
      <c r="J360" s="264"/>
      <c r="K360" s="223"/>
      <c r="L360" s="265"/>
      <c r="M360" s="43"/>
      <c r="N360" s="43"/>
      <c r="O360" s="43"/>
      <c r="P360" s="43"/>
      <c r="Q360" s="43"/>
      <c r="R360" s="152"/>
    </row>
    <row r="361" spans="1:18" outlineLevel="1" x14ac:dyDescent="0.3">
      <c r="A361" s="152"/>
      <c r="B361" s="152"/>
      <c r="C361" s="382" t="s">
        <v>60</v>
      </c>
      <c r="D361" s="239"/>
      <c r="E361" s="383" t="s">
        <v>14</v>
      </c>
      <c r="F361" s="388">
        <v>42.844000000000001</v>
      </c>
      <c r="G361" s="388">
        <v>32.856999999999999</v>
      </c>
      <c r="H361" s="388">
        <v>32.677999999999997</v>
      </c>
      <c r="I361" s="388">
        <v>35.770000000000003</v>
      </c>
      <c r="J361" s="389">
        <v>0</v>
      </c>
      <c r="K361" s="388">
        <v>0</v>
      </c>
      <c r="L361" s="390">
        <f t="shared" ref="L361:L364" si="129">+I361+J361+K361</f>
        <v>35.770000000000003</v>
      </c>
      <c r="M361" s="391">
        <f>+M273*M232</f>
        <v>35.150033408047733</v>
      </c>
      <c r="N361" s="391">
        <f t="shared" ref="N361:Q361" si="130">+N273*N232</f>
        <v>35.62397726573311</v>
      </c>
      <c r="O361" s="391">
        <f t="shared" si="130"/>
        <v>36.080545117672095</v>
      </c>
      <c r="P361" s="391">
        <f t="shared" si="130"/>
        <v>36.817359849053744</v>
      </c>
      <c r="Q361" s="391">
        <f t="shared" si="130"/>
        <v>37.556532286641605</v>
      </c>
      <c r="R361" s="152"/>
    </row>
    <row r="362" spans="1:18" outlineLevel="1" x14ac:dyDescent="0.3">
      <c r="A362" s="152"/>
      <c r="B362" s="152"/>
      <c r="C362" s="382" t="s">
        <v>61</v>
      </c>
      <c r="D362" s="239"/>
      <c r="E362" s="383" t="s">
        <v>14</v>
      </c>
      <c r="F362" s="374">
        <v>32.968000000000004</v>
      </c>
      <c r="G362" s="374">
        <v>34.631</v>
      </c>
      <c r="H362" s="374">
        <v>35.517000000000003</v>
      </c>
      <c r="I362" s="374">
        <v>34.000999999999998</v>
      </c>
      <c r="J362" s="386">
        <v>0</v>
      </c>
      <c r="K362" s="374">
        <v>0</v>
      </c>
      <c r="L362" s="376">
        <f t="shared" si="129"/>
        <v>34.000999999999998</v>
      </c>
      <c r="M362" s="377">
        <f>+M295*M233</f>
        <v>35.756535052614119</v>
      </c>
      <c r="N362" s="377">
        <f t="shared" ref="N362:Q362" si="131">+N295*N233</f>
        <v>36.857403659291819</v>
      </c>
      <c r="O362" s="377">
        <f t="shared" si="131"/>
        <v>37.91920739981834</v>
      </c>
      <c r="P362" s="377">
        <f t="shared" si="131"/>
        <v>39.066526728929681</v>
      </c>
      <c r="Q362" s="377">
        <f t="shared" si="131"/>
        <v>40.117485008752368</v>
      </c>
      <c r="R362" s="152"/>
    </row>
    <row r="363" spans="1:18" outlineLevel="1" x14ac:dyDescent="0.3">
      <c r="A363" s="152"/>
      <c r="B363" s="152"/>
      <c r="C363" s="382" t="s">
        <v>62</v>
      </c>
      <c r="D363" s="239"/>
      <c r="E363" s="383" t="s">
        <v>14</v>
      </c>
      <c r="F363" s="374">
        <v>9.3930000000000007</v>
      </c>
      <c r="G363" s="374">
        <v>9.8539999999999992</v>
      </c>
      <c r="H363" s="374">
        <v>11.779</v>
      </c>
      <c r="I363" s="374">
        <v>14.504</v>
      </c>
      <c r="J363" s="386">
        <v>0</v>
      </c>
      <c r="K363" s="374">
        <v>0</v>
      </c>
      <c r="L363" s="376">
        <f t="shared" si="129"/>
        <v>14.504</v>
      </c>
      <c r="M363" s="377">
        <f>+M267*M234</f>
        <v>16.048630508442699</v>
      </c>
      <c r="N363" s="377">
        <f t="shared" ref="N363:Q363" si="132">+N267*N234</f>
        <v>18.227310331479458</v>
      </c>
      <c r="O363" s="377">
        <f t="shared" si="132"/>
        <v>20.507581544980233</v>
      </c>
      <c r="P363" s="377">
        <f t="shared" si="132"/>
        <v>22.89176859847473</v>
      </c>
      <c r="Q363" s="377">
        <f t="shared" si="132"/>
        <v>25.382241807516095</v>
      </c>
      <c r="R363" s="152"/>
    </row>
    <row r="364" spans="1:18" outlineLevel="1" x14ac:dyDescent="0.3">
      <c r="A364" s="152"/>
      <c r="B364" s="152"/>
      <c r="C364" s="335" t="s">
        <v>315</v>
      </c>
      <c r="D364" s="336"/>
      <c r="E364" s="359" t="s">
        <v>14</v>
      </c>
      <c r="F364" s="392">
        <v>2.9329999999999998</v>
      </c>
      <c r="G364" s="392">
        <v>5.5119999999999996</v>
      </c>
      <c r="H364" s="392">
        <v>2.1059999999999999</v>
      </c>
      <c r="I364" s="392">
        <v>1.417</v>
      </c>
      <c r="J364" s="393">
        <v>0</v>
      </c>
      <c r="K364" s="392">
        <v>0</v>
      </c>
      <c r="L364" s="394">
        <f t="shared" si="129"/>
        <v>1.417</v>
      </c>
      <c r="M364" s="395">
        <f>+M295*M235</f>
        <v>3.1387815355647253</v>
      </c>
      <c r="N364" s="395">
        <f t="shared" ref="N364:Q364" si="133">+N295*N235</f>
        <v>3.2354180259472076</v>
      </c>
      <c r="O364" s="395">
        <f t="shared" si="133"/>
        <v>3.3286253227463574</v>
      </c>
      <c r="P364" s="395">
        <f t="shared" si="133"/>
        <v>3.4293393522324975</v>
      </c>
      <c r="Q364" s="395">
        <f t="shared" si="133"/>
        <v>3.5215946123829118</v>
      </c>
      <c r="R364" s="152"/>
    </row>
    <row r="365" spans="1:18" outlineLevel="1" x14ac:dyDescent="0.3">
      <c r="A365" s="152"/>
      <c r="B365" s="152"/>
      <c r="C365" s="7" t="s">
        <v>296</v>
      </c>
      <c r="D365" s="152"/>
      <c r="E365" s="174" t="s">
        <v>14</v>
      </c>
      <c r="F365" s="146">
        <f>SUM(F361:F364)</f>
        <v>88.138000000000005</v>
      </c>
      <c r="G365" s="146">
        <f>SUM(G361:G364)</f>
        <v>82.853999999999999</v>
      </c>
      <c r="H365" s="146">
        <f>SUM(H361:H364)</f>
        <v>82.079999999999984</v>
      </c>
      <c r="I365" s="146">
        <f>SUM(I361:I364)</f>
        <v>85.692000000000007</v>
      </c>
      <c r="J365" s="363"/>
      <c r="K365" s="146"/>
      <c r="L365" s="370">
        <f>SUM(L361:L364)</f>
        <v>85.692000000000007</v>
      </c>
      <c r="M365" s="372">
        <f>SUM(M361:M364)</f>
        <v>90.093980504669275</v>
      </c>
      <c r="N365" s="372">
        <f t="shared" ref="N365:Q365" si="134">SUM(N361:N364)</f>
        <v>93.944109282451592</v>
      </c>
      <c r="O365" s="372">
        <f t="shared" si="134"/>
        <v>97.835959385217038</v>
      </c>
      <c r="P365" s="372">
        <f t="shared" si="134"/>
        <v>102.20499452869065</v>
      </c>
      <c r="Q365" s="372">
        <f t="shared" si="134"/>
        <v>106.57785371529299</v>
      </c>
      <c r="R365" s="152"/>
    </row>
    <row r="366" spans="1:18" outlineLevel="1" x14ac:dyDescent="0.3">
      <c r="A366" s="152"/>
      <c r="B366" s="152"/>
      <c r="C366" s="7"/>
      <c r="D366" s="152"/>
      <c r="E366" s="174"/>
      <c r="F366" s="146"/>
      <c r="G366" s="146"/>
      <c r="H366" s="146"/>
      <c r="I366" s="146"/>
      <c r="J366" s="363"/>
      <c r="K366" s="146"/>
      <c r="L366" s="370"/>
      <c r="M366" s="372"/>
      <c r="N366" s="372"/>
      <c r="O366" s="372"/>
      <c r="P366" s="372"/>
      <c r="Q366" s="372"/>
      <c r="R366" s="152"/>
    </row>
    <row r="367" spans="1:18" outlineLevel="1" x14ac:dyDescent="0.3">
      <c r="A367" s="152"/>
      <c r="B367" s="152"/>
      <c r="C367" s="7" t="s">
        <v>307</v>
      </c>
      <c r="D367" s="152"/>
      <c r="E367" s="174"/>
      <c r="F367" s="146"/>
      <c r="G367" s="146"/>
      <c r="H367" s="146"/>
      <c r="I367" s="146"/>
      <c r="J367" s="363"/>
      <c r="K367" s="146"/>
      <c r="L367" s="370"/>
      <c r="M367" s="372"/>
      <c r="N367" s="372"/>
      <c r="O367" s="372"/>
      <c r="P367" s="372"/>
      <c r="Q367" s="372"/>
      <c r="R367" s="152"/>
    </row>
    <row r="368" spans="1:18" outlineLevel="1" x14ac:dyDescent="0.3">
      <c r="A368" s="152"/>
      <c r="B368" s="152"/>
      <c r="C368" s="304" t="s">
        <v>309</v>
      </c>
      <c r="D368" s="297"/>
      <c r="E368" s="182" t="s">
        <v>14</v>
      </c>
      <c r="F368" s="121">
        <v>377</v>
      </c>
      <c r="G368" s="121">
        <v>389.6</v>
      </c>
      <c r="H368" s="121">
        <v>389.5</v>
      </c>
      <c r="I368" s="121">
        <v>361.5</v>
      </c>
      <c r="J368" s="550">
        <f>-M96</f>
        <v>-361.5</v>
      </c>
      <c r="K368" s="121">
        <v>0</v>
      </c>
      <c r="L368" s="122">
        <f t="shared" ref="L368:L377" si="135">+I368+J368+K368</f>
        <v>0</v>
      </c>
      <c r="M368" s="123">
        <f>+L368+M429+M440</f>
        <v>0</v>
      </c>
      <c r="N368" s="123">
        <f t="shared" ref="N368:Q368" si="136">+M368+N429+N440</f>
        <v>0</v>
      </c>
      <c r="O368" s="123">
        <f t="shared" si="136"/>
        <v>0</v>
      </c>
      <c r="P368" s="123">
        <f t="shared" si="136"/>
        <v>0</v>
      </c>
      <c r="Q368" s="123">
        <f t="shared" si="136"/>
        <v>0</v>
      </c>
      <c r="R368" s="331"/>
    </row>
    <row r="369" spans="1:18" outlineLevel="1" x14ac:dyDescent="0.3">
      <c r="A369" s="152"/>
      <c r="B369" s="152"/>
      <c r="C369" s="256" t="s">
        <v>332</v>
      </c>
      <c r="D369" s="239"/>
      <c r="E369" s="176" t="s">
        <v>14</v>
      </c>
      <c r="F369" s="385">
        <v>11.262</v>
      </c>
      <c r="G369" s="385">
        <v>10.909000000000001</v>
      </c>
      <c r="H369" s="385">
        <v>22.716000000000001</v>
      </c>
      <c r="I369" s="385">
        <v>21.379000000000001</v>
      </c>
      <c r="J369" s="386">
        <v>0</v>
      </c>
      <c r="K369" s="374">
        <v>0</v>
      </c>
      <c r="L369" s="376">
        <f t="shared" si="135"/>
        <v>21.379000000000001</v>
      </c>
      <c r="M369" s="415">
        <f>+L369+M430</f>
        <v>19.866976639905488</v>
      </c>
      <c r="N369" s="415">
        <f t="shared" ref="N369:Q369" si="137">+M369+N430</f>
        <v>18.387099562333862</v>
      </c>
      <c r="O369" s="415">
        <f t="shared" si="137"/>
        <v>16.974385253604705</v>
      </c>
      <c r="P369" s="415">
        <f t="shared" si="137"/>
        <v>15.54617184437344</v>
      </c>
      <c r="Q369" s="415">
        <f t="shared" si="137"/>
        <v>13.893508498241282</v>
      </c>
      <c r="R369" s="152"/>
    </row>
    <row r="370" spans="1:18" outlineLevel="1" x14ac:dyDescent="0.3">
      <c r="A370" s="152"/>
      <c r="B370" s="152"/>
      <c r="C370" s="382" t="s">
        <v>65</v>
      </c>
      <c r="D370" s="239"/>
      <c r="E370" s="176" t="s">
        <v>14</v>
      </c>
      <c r="F370" s="385">
        <v>100.52900000000001</v>
      </c>
      <c r="G370" s="385">
        <v>100.571</v>
      </c>
      <c r="H370" s="385">
        <v>101.30500000000001</v>
      </c>
      <c r="I370" s="385">
        <v>104.441</v>
      </c>
      <c r="J370" s="386">
        <v>0</v>
      </c>
      <c r="K370" s="374">
        <v>0</v>
      </c>
      <c r="L370" s="376">
        <f t="shared" si="135"/>
        <v>104.441</v>
      </c>
      <c r="M370" s="415">
        <f>+M295*M236</f>
        <v>106.07803302886782</v>
      </c>
      <c r="N370" s="415">
        <f t="shared" ref="N370:Q370" si="138">+N295*N236</f>
        <v>109.34395284598006</v>
      </c>
      <c r="O370" s="415">
        <f t="shared" si="138"/>
        <v>112.4939798855691</v>
      </c>
      <c r="P370" s="415">
        <f t="shared" si="138"/>
        <v>115.89770391836612</v>
      </c>
      <c r="Q370" s="415">
        <f t="shared" si="138"/>
        <v>119.01555599645339</v>
      </c>
      <c r="R370" s="152"/>
    </row>
    <row r="371" spans="1:18" outlineLevel="1" x14ac:dyDescent="0.3">
      <c r="A371" s="152"/>
      <c r="B371" s="152"/>
      <c r="C371" s="399" t="s">
        <v>64</v>
      </c>
      <c r="D371" s="399"/>
      <c r="E371" s="401" t="s">
        <v>14</v>
      </c>
      <c r="F371" s="402">
        <v>43.037999999999997</v>
      </c>
      <c r="G371" s="402">
        <v>64.36</v>
      </c>
      <c r="H371" s="402">
        <v>62.930999999999997</v>
      </c>
      <c r="I371" s="402">
        <v>57.831000000000003</v>
      </c>
      <c r="J371" s="408">
        <f>+F123</f>
        <v>-57.831000000000003</v>
      </c>
      <c r="K371" s="409">
        <f>+F125</f>
        <v>170.74391557502852</v>
      </c>
      <c r="L371" s="410">
        <f t="shared" si="135"/>
        <v>170.74391557502852</v>
      </c>
      <c r="M371" s="411">
        <f>+L371+M406</f>
        <v>170.74391557502852</v>
      </c>
      <c r="N371" s="411">
        <f t="shared" ref="N371:Q371" si="139">+M371+N406</f>
        <v>170.74391557502852</v>
      </c>
      <c r="O371" s="411">
        <f t="shared" si="139"/>
        <v>170.74391557502852</v>
      </c>
      <c r="P371" s="411">
        <f t="shared" si="139"/>
        <v>170.74391557502852</v>
      </c>
      <c r="Q371" s="411">
        <f t="shared" si="139"/>
        <v>170.74391557502852</v>
      </c>
      <c r="R371" s="152"/>
    </row>
    <row r="372" spans="1:18" outlineLevel="1" x14ac:dyDescent="0.3">
      <c r="A372" s="152"/>
      <c r="B372" s="152"/>
      <c r="C372" s="305" t="str">
        <f>+$C$82</f>
        <v>Revolver:</v>
      </c>
      <c r="D372" s="305"/>
      <c r="E372" s="339" t="s">
        <v>14</v>
      </c>
      <c r="F372" s="111">
        <v>0</v>
      </c>
      <c r="G372" s="111">
        <v>0</v>
      </c>
      <c r="H372" s="111">
        <v>0</v>
      </c>
      <c r="I372" s="111">
        <v>0</v>
      </c>
      <c r="J372" s="131">
        <v>0</v>
      </c>
      <c r="K372" s="116">
        <f>+F95</f>
        <v>0</v>
      </c>
      <c r="L372" s="118">
        <f t="shared" si="135"/>
        <v>0</v>
      </c>
      <c r="M372" s="113"/>
      <c r="N372" s="113"/>
      <c r="O372" s="113"/>
      <c r="P372" s="113"/>
      <c r="Q372" s="113"/>
      <c r="R372" s="152"/>
    </row>
    <row r="373" spans="1:18" outlineLevel="1" x14ac:dyDescent="0.3">
      <c r="A373" s="152"/>
      <c r="B373" s="152"/>
      <c r="C373" s="305" t="str">
        <f>+$C$83</f>
        <v>Term Loan - A:</v>
      </c>
      <c r="D373" s="305"/>
      <c r="E373" s="339" t="s">
        <v>14</v>
      </c>
      <c r="F373" s="111">
        <v>0</v>
      </c>
      <c r="G373" s="111">
        <v>0</v>
      </c>
      <c r="H373" s="111">
        <v>0</v>
      </c>
      <c r="I373" s="111">
        <v>0</v>
      </c>
      <c r="J373" s="131">
        <v>0</v>
      </c>
      <c r="K373" s="116">
        <f t="shared" ref="K373:K377" si="140">+F96</f>
        <v>253.62292508178302</v>
      </c>
      <c r="L373" s="118">
        <f t="shared" si="135"/>
        <v>253.62292508178302</v>
      </c>
      <c r="M373" s="113"/>
      <c r="N373" s="113"/>
      <c r="O373" s="113"/>
      <c r="P373" s="113"/>
      <c r="Q373" s="113"/>
      <c r="R373" s="331"/>
    </row>
    <row r="374" spans="1:18" outlineLevel="1" x14ac:dyDescent="0.3">
      <c r="A374" s="152"/>
      <c r="B374" s="152"/>
      <c r="C374" s="305" t="str">
        <f>+$C$84</f>
        <v>Term Loan - B:</v>
      </c>
      <c r="D374" s="305"/>
      <c r="E374" s="339" t="s">
        <v>14</v>
      </c>
      <c r="F374" s="111">
        <v>0</v>
      </c>
      <c r="G374" s="111">
        <v>0</v>
      </c>
      <c r="H374" s="111">
        <v>0</v>
      </c>
      <c r="I374" s="111">
        <v>0</v>
      </c>
      <c r="J374" s="131">
        <v>0</v>
      </c>
      <c r="K374" s="116">
        <f t="shared" si="140"/>
        <v>253.62292508178302</v>
      </c>
      <c r="L374" s="118">
        <f t="shared" si="135"/>
        <v>253.62292508178302</v>
      </c>
      <c r="M374" s="113"/>
      <c r="N374" s="113"/>
      <c r="O374" s="113"/>
      <c r="P374" s="113"/>
      <c r="Q374" s="113"/>
      <c r="R374" s="331"/>
    </row>
    <row r="375" spans="1:18" outlineLevel="1" x14ac:dyDescent="0.3">
      <c r="A375" s="152"/>
      <c r="B375" s="152"/>
      <c r="C375" s="305" t="str">
        <f>+$C$85</f>
        <v>Senior Notes:</v>
      </c>
      <c r="D375" s="305"/>
      <c r="E375" s="339" t="s">
        <v>14</v>
      </c>
      <c r="F375" s="111">
        <v>0</v>
      </c>
      <c r="G375" s="111">
        <v>0</v>
      </c>
      <c r="H375" s="111">
        <v>0</v>
      </c>
      <c r="I375" s="111">
        <v>0</v>
      </c>
      <c r="J375" s="131">
        <v>0</v>
      </c>
      <c r="K375" s="116">
        <f t="shared" si="140"/>
        <v>202.89834006542642</v>
      </c>
      <c r="L375" s="118">
        <f t="shared" si="135"/>
        <v>202.89834006542642</v>
      </c>
      <c r="M375" s="113"/>
      <c r="N375" s="113"/>
      <c r="O375" s="113"/>
      <c r="P375" s="113"/>
      <c r="Q375" s="113"/>
      <c r="R375" s="331"/>
    </row>
    <row r="376" spans="1:18" outlineLevel="1" x14ac:dyDescent="0.3">
      <c r="A376" s="152"/>
      <c r="B376" s="152"/>
      <c r="C376" s="305" t="str">
        <f>+$C$86</f>
        <v>Subordinated Note:</v>
      </c>
      <c r="D376" s="305"/>
      <c r="E376" s="339" t="s">
        <v>14</v>
      </c>
      <c r="F376" s="111">
        <v>0</v>
      </c>
      <c r="G376" s="111">
        <v>0</v>
      </c>
      <c r="H376" s="111">
        <v>0</v>
      </c>
      <c r="I376" s="111">
        <v>0</v>
      </c>
      <c r="J376" s="131">
        <v>0</v>
      </c>
      <c r="K376" s="116">
        <f t="shared" si="140"/>
        <v>152.1737550490698</v>
      </c>
      <c r="L376" s="118">
        <f t="shared" si="135"/>
        <v>152.1737550490698</v>
      </c>
      <c r="M376" s="113"/>
      <c r="N376" s="113"/>
      <c r="O376" s="113"/>
      <c r="P376" s="113"/>
      <c r="Q376" s="113"/>
      <c r="R376" s="331"/>
    </row>
    <row r="377" spans="1:18" outlineLevel="1" x14ac:dyDescent="0.3">
      <c r="A377" s="152"/>
      <c r="B377" s="152"/>
      <c r="C377" s="307" t="str">
        <f>+$C$87</f>
        <v>Mezzanine:</v>
      </c>
      <c r="D377" s="307"/>
      <c r="E377" s="339" t="s">
        <v>14</v>
      </c>
      <c r="F377" s="114">
        <v>0</v>
      </c>
      <c r="G377" s="114">
        <v>0</v>
      </c>
      <c r="H377" s="114">
        <v>0</v>
      </c>
      <c r="I377" s="114">
        <v>0</v>
      </c>
      <c r="J377" s="133">
        <v>0</v>
      </c>
      <c r="K377" s="117">
        <f t="shared" si="140"/>
        <v>152.17375504906983</v>
      </c>
      <c r="L377" s="119">
        <f t="shared" si="135"/>
        <v>152.17375504906983</v>
      </c>
      <c r="M377" s="113">
        <f>+L377+M405</f>
        <v>152.17375504906983</v>
      </c>
      <c r="N377" s="113">
        <f t="shared" ref="N377:Q377" si="141">+M377+N405</f>
        <v>152.17375504906983</v>
      </c>
      <c r="O377" s="113">
        <f t="shared" si="141"/>
        <v>152.17375504906983</v>
      </c>
      <c r="P377" s="113">
        <f t="shared" si="141"/>
        <v>152.17375504906983</v>
      </c>
      <c r="Q377" s="113">
        <f t="shared" si="141"/>
        <v>152.17375504906983</v>
      </c>
      <c r="R377" s="331"/>
    </row>
    <row r="378" spans="1:18" outlineLevel="1" x14ac:dyDescent="0.3">
      <c r="A378" s="152"/>
      <c r="B378" s="152"/>
      <c r="C378" s="35" t="s">
        <v>308</v>
      </c>
      <c r="D378" s="152"/>
      <c r="E378" s="177" t="s">
        <v>14</v>
      </c>
      <c r="F378" s="31">
        <f>SUM(F368:F377)</f>
        <v>531.82899999999995</v>
      </c>
      <c r="G378" s="31">
        <f>SUM(G368:G377)</f>
        <v>565.44000000000005</v>
      </c>
      <c r="H378" s="31">
        <f>SUM(H368:H377)</f>
        <v>576.452</v>
      </c>
      <c r="I378" s="31">
        <f>SUM(I368:I377)</f>
        <v>545.15100000000007</v>
      </c>
      <c r="J378" s="85"/>
      <c r="K378" s="31"/>
      <c r="L378" s="88">
        <f>SUM(L368:L377)</f>
        <v>1311.0556159021605</v>
      </c>
      <c r="M378" s="31">
        <f t="shared" ref="M378:Q378" si="142">SUM(M368:M377)</f>
        <v>448.86268029287163</v>
      </c>
      <c r="N378" s="31">
        <f t="shared" si="142"/>
        <v>450.64872303241225</v>
      </c>
      <c r="O378" s="31">
        <f t="shared" si="142"/>
        <v>452.38603576327216</v>
      </c>
      <c r="P378" s="31">
        <f t="shared" si="142"/>
        <v>454.36154638683792</v>
      </c>
      <c r="Q378" s="31">
        <f t="shared" si="142"/>
        <v>455.82673511879301</v>
      </c>
      <c r="R378" s="331"/>
    </row>
    <row r="379" spans="1:18" outlineLevel="1" x14ac:dyDescent="0.3">
      <c r="A379" s="152"/>
      <c r="B379" s="152"/>
      <c r="C379" s="256"/>
      <c r="D379" s="256"/>
      <c r="E379" s="176"/>
      <c r="F379" s="374"/>
      <c r="G379" s="374"/>
      <c r="H379" s="374"/>
      <c r="I379" s="374"/>
      <c r="J379" s="386"/>
      <c r="K379" s="375"/>
      <c r="L379" s="376"/>
      <c r="M379" s="377"/>
      <c r="N379" s="377"/>
      <c r="O379" s="377"/>
      <c r="P379" s="377"/>
      <c r="Q379" s="377"/>
      <c r="R379" s="331"/>
    </row>
    <row r="380" spans="1:18" outlineLevel="1" x14ac:dyDescent="0.3">
      <c r="A380" s="152"/>
      <c r="B380" s="152"/>
      <c r="C380" s="59" t="s">
        <v>66</v>
      </c>
      <c r="D380" s="152"/>
      <c r="E380" s="175" t="s">
        <v>14</v>
      </c>
      <c r="F380" s="368">
        <f>F365+F378</f>
        <v>619.96699999999998</v>
      </c>
      <c r="G380" s="368">
        <f>G365+G378</f>
        <v>648.2940000000001</v>
      </c>
      <c r="H380" s="368">
        <f>H365+H378</f>
        <v>658.53199999999993</v>
      </c>
      <c r="I380" s="368">
        <f>I365+I378</f>
        <v>630.84300000000007</v>
      </c>
      <c r="J380" s="105"/>
      <c r="K380" s="368"/>
      <c r="L380" s="108">
        <f>L365+L378</f>
        <v>1396.7476159021605</v>
      </c>
      <c r="M380" s="368">
        <f t="shared" ref="M380:Q380" si="143">M365+M378</f>
        <v>538.95666079754096</v>
      </c>
      <c r="N380" s="368">
        <f t="shared" si="143"/>
        <v>544.59283231486381</v>
      </c>
      <c r="O380" s="368">
        <f t="shared" si="143"/>
        <v>550.22199514848921</v>
      </c>
      <c r="P380" s="368">
        <f t="shared" si="143"/>
        <v>556.56654091552855</v>
      </c>
      <c r="Q380" s="368">
        <f t="shared" si="143"/>
        <v>562.40458883408598</v>
      </c>
      <c r="R380" s="152"/>
    </row>
    <row r="381" spans="1:18" outlineLevel="1" x14ac:dyDescent="0.3">
      <c r="A381" s="152"/>
      <c r="B381" s="152"/>
      <c r="C381" s="152"/>
      <c r="D381" s="152"/>
      <c r="F381" s="185"/>
      <c r="G381" s="185"/>
      <c r="H381" s="185" t="s">
        <v>47</v>
      </c>
      <c r="I381" s="185" t="s">
        <v>47</v>
      </c>
      <c r="J381" s="264"/>
      <c r="K381" s="223"/>
      <c r="L381" s="265"/>
      <c r="M381" s="43"/>
      <c r="N381" s="43"/>
      <c r="O381" s="43"/>
      <c r="P381" s="43"/>
      <c r="Q381" s="43"/>
      <c r="R381" s="152"/>
    </row>
    <row r="382" spans="1:18" outlineLevel="1" x14ac:dyDescent="0.3">
      <c r="A382" s="152"/>
      <c r="B382" s="152"/>
      <c r="C382" s="134" t="s">
        <v>67</v>
      </c>
      <c r="D382" s="244"/>
      <c r="E382" s="5"/>
      <c r="F382" s="611"/>
      <c r="G382" s="301"/>
      <c r="H382" s="301"/>
      <c r="I382" s="301"/>
      <c r="J382" s="302"/>
      <c r="K382" s="301"/>
      <c r="L382" s="303"/>
      <c r="M382" s="139"/>
      <c r="N382" s="139"/>
      <c r="O382" s="139"/>
      <c r="P382" s="139"/>
      <c r="Q382" s="139"/>
      <c r="R382" s="152"/>
    </row>
    <row r="383" spans="1:18" outlineLevel="1" x14ac:dyDescent="0.3">
      <c r="A383" s="152"/>
      <c r="B383" s="152"/>
      <c r="C383" s="306" t="s">
        <v>68</v>
      </c>
      <c r="D383" s="306"/>
      <c r="E383" s="180" t="s">
        <v>14</v>
      </c>
      <c r="F383" s="417">
        <v>442.19499999999999</v>
      </c>
      <c r="G383" s="417">
        <v>448.11500000000001</v>
      </c>
      <c r="H383" s="417">
        <v>453.61900000000003</v>
      </c>
      <c r="I383" s="417">
        <v>459.88900000000001</v>
      </c>
      <c r="J383" s="418">
        <f>-I383</f>
        <v>-459.88900000000001</v>
      </c>
      <c r="K383" s="549">
        <v>0</v>
      </c>
      <c r="L383" s="419">
        <f t="shared" ref="L383:L388" si="144">+I383+J383+K383</f>
        <v>0</v>
      </c>
      <c r="M383" s="420">
        <f>+L383+M408</f>
        <v>7.885817712931031</v>
      </c>
      <c r="N383" s="420">
        <f t="shared" ref="N383:Q383" si="145">+M383+N408</f>
        <v>15.989187344061618</v>
      </c>
      <c r="O383" s="420">
        <f t="shared" si="145"/>
        <v>24.313511191378808</v>
      </c>
      <c r="P383" s="420">
        <f t="shared" si="145"/>
        <v>32.862243046810029</v>
      </c>
      <c r="Q383" s="420">
        <f t="shared" si="145"/>
        <v>41.638888798266215</v>
      </c>
      <c r="R383" s="152"/>
    </row>
    <row r="384" spans="1:18" outlineLevel="1" x14ac:dyDescent="0.3">
      <c r="A384" s="152"/>
      <c r="B384" s="152"/>
      <c r="C384" s="305" t="s">
        <v>69</v>
      </c>
      <c r="D384" s="305"/>
      <c r="E384" s="180" t="s">
        <v>14</v>
      </c>
      <c r="F384" s="111">
        <v>756.44799999999998</v>
      </c>
      <c r="G384" s="111">
        <v>795.60400000000004</v>
      </c>
      <c r="H384" s="111">
        <v>823.01199999999994</v>
      </c>
      <c r="I384" s="111">
        <v>853.46400000000006</v>
      </c>
      <c r="J384" s="144">
        <f>-I384-M98</f>
        <v>-888.43331617180002</v>
      </c>
      <c r="K384" s="111">
        <v>0</v>
      </c>
      <c r="L384" s="416">
        <f t="shared" si="144"/>
        <v>-34.96931617179996</v>
      </c>
      <c r="M384" s="113">
        <f>+L384+M399+M432+M431</f>
        <v>24.893776179757587</v>
      </c>
      <c r="N384" s="113">
        <f t="shared" ref="N384:Q384" si="146">+M384+N399+N432+N431</f>
        <v>86.228609747605063</v>
      </c>
      <c r="O384" s="113">
        <f t="shared" si="146"/>
        <v>149.71505281494206</v>
      </c>
      <c r="P384" s="113">
        <f t="shared" si="146"/>
        <v>214.06871791188337</v>
      </c>
      <c r="Q384" s="113">
        <f t="shared" si="146"/>
        <v>280.54982034779516</v>
      </c>
      <c r="R384" s="152"/>
    </row>
    <row r="385" spans="1:30" outlineLevel="1" x14ac:dyDescent="0.3">
      <c r="A385" s="152"/>
      <c r="B385" s="152"/>
      <c r="C385" s="306" t="s">
        <v>305</v>
      </c>
      <c r="D385" s="306"/>
      <c r="E385" s="180" t="s">
        <v>14</v>
      </c>
      <c r="F385" s="130">
        <v>4.5220000000000002</v>
      </c>
      <c r="G385" s="130">
        <v>5.3419999999999996</v>
      </c>
      <c r="H385" s="130">
        <v>5.88</v>
      </c>
      <c r="I385" s="130">
        <v>4.7640000000000002</v>
      </c>
      <c r="J385" s="144">
        <f t="shared" ref="J385:J386" si="147">-I385</f>
        <v>-4.7640000000000002</v>
      </c>
      <c r="K385" s="111">
        <v>0</v>
      </c>
      <c r="L385" s="416">
        <f t="shared" si="144"/>
        <v>0</v>
      </c>
      <c r="M385" s="137">
        <f>+L385+M436</f>
        <v>-0.17899999999999999</v>
      </c>
      <c r="N385" s="137">
        <f t="shared" ref="N385:Q385" si="148">+M385+N436</f>
        <v>-0.35799999999999998</v>
      </c>
      <c r="O385" s="137">
        <f t="shared" si="148"/>
        <v>-0.53699999999999992</v>
      </c>
      <c r="P385" s="137">
        <f t="shared" si="148"/>
        <v>-0.71599999999999997</v>
      </c>
      <c r="Q385" s="137">
        <f t="shared" si="148"/>
        <v>-0.89500000000000002</v>
      </c>
      <c r="R385" s="152"/>
    </row>
    <row r="386" spans="1:30" outlineLevel="1" x14ac:dyDescent="0.3">
      <c r="A386" s="152"/>
      <c r="B386" s="152"/>
      <c r="C386" s="306" t="s">
        <v>70</v>
      </c>
      <c r="D386" s="306"/>
      <c r="E386" s="180" t="s">
        <v>14</v>
      </c>
      <c r="F386" s="130">
        <v>-1045.1030000000001</v>
      </c>
      <c r="G386" s="130">
        <v>-1124.884</v>
      </c>
      <c r="H386" s="130">
        <v>-1139.2370000000001</v>
      </c>
      <c r="I386" s="130">
        <v>-1157.3489999999999</v>
      </c>
      <c r="J386" s="144">
        <f t="shared" si="147"/>
        <v>1157.3489999999999</v>
      </c>
      <c r="K386" s="111">
        <v>0</v>
      </c>
      <c r="L386" s="416">
        <f t="shared" si="144"/>
        <v>0</v>
      </c>
      <c r="M386" s="137">
        <f>+L386+M433</f>
        <v>0</v>
      </c>
      <c r="N386" s="137">
        <f t="shared" ref="N386:Q386" si="149">+M386+N433</f>
        <v>0</v>
      </c>
      <c r="O386" s="137">
        <f t="shared" si="149"/>
        <v>0</v>
      </c>
      <c r="P386" s="137">
        <f t="shared" si="149"/>
        <v>0</v>
      </c>
      <c r="Q386" s="137">
        <f t="shared" si="149"/>
        <v>0</v>
      </c>
      <c r="R386" s="152"/>
    </row>
    <row r="387" spans="1:30" outlineLevel="1" x14ac:dyDescent="0.3">
      <c r="A387" s="152"/>
      <c r="B387" s="152"/>
      <c r="C387" s="306" t="str">
        <f>C102</f>
        <v>Equity Rollover:</v>
      </c>
      <c r="D387" s="306"/>
      <c r="E387" s="180" t="s">
        <v>14</v>
      </c>
      <c r="F387" s="130">
        <v>0</v>
      </c>
      <c r="G387" s="130">
        <v>0</v>
      </c>
      <c r="H387" s="130">
        <v>0</v>
      </c>
      <c r="I387" s="130">
        <v>0</v>
      </c>
      <c r="J387" s="131">
        <v>0</v>
      </c>
      <c r="K387" s="113">
        <f>+F102</f>
        <v>0</v>
      </c>
      <c r="L387" s="416">
        <f t="shared" si="144"/>
        <v>0</v>
      </c>
      <c r="M387" s="137">
        <f>+L387</f>
        <v>0</v>
      </c>
      <c r="N387" s="137">
        <f t="shared" ref="N387:Q387" si="150">+M387</f>
        <v>0</v>
      </c>
      <c r="O387" s="137">
        <f t="shared" si="150"/>
        <v>0</v>
      </c>
      <c r="P387" s="137">
        <f t="shared" si="150"/>
        <v>0</v>
      </c>
      <c r="Q387" s="137">
        <f t="shared" si="150"/>
        <v>0</v>
      </c>
      <c r="R387" s="152"/>
    </row>
    <row r="388" spans="1:30" outlineLevel="1" x14ac:dyDescent="0.3">
      <c r="A388" s="152"/>
      <c r="B388" s="152"/>
      <c r="C388" s="306" t="str">
        <f>C104</f>
        <v>Sponsor Common Equity:</v>
      </c>
      <c r="D388" s="307"/>
      <c r="E388" s="180" t="s">
        <v>14</v>
      </c>
      <c r="F388" s="130">
        <v>0</v>
      </c>
      <c r="G388" s="130">
        <v>0</v>
      </c>
      <c r="H388" s="130">
        <v>0</v>
      </c>
      <c r="I388" s="130">
        <v>0</v>
      </c>
      <c r="J388" s="131">
        <v>0</v>
      </c>
      <c r="K388" s="116">
        <f>+F104</f>
        <v>356.44302984466799</v>
      </c>
      <c r="L388" s="416">
        <f t="shared" si="144"/>
        <v>356.44302984466799</v>
      </c>
      <c r="M388" s="137">
        <f t="shared" ref="M388:P388" si="151">+L388</f>
        <v>356.44302984466799</v>
      </c>
      <c r="N388" s="137">
        <f t="shared" si="151"/>
        <v>356.44302984466799</v>
      </c>
      <c r="O388" s="137">
        <f t="shared" si="151"/>
        <v>356.44302984466799</v>
      </c>
      <c r="P388" s="137">
        <f t="shared" si="151"/>
        <v>356.44302984466799</v>
      </c>
      <c r="Q388" s="137">
        <f>+P388</f>
        <v>356.44302984466799</v>
      </c>
      <c r="R388" s="152"/>
    </row>
    <row r="389" spans="1:30" outlineLevel="1" x14ac:dyDescent="0.3">
      <c r="A389" s="152"/>
      <c r="B389" s="152"/>
      <c r="C389" s="35" t="s">
        <v>71</v>
      </c>
      <c r="D389" s="152"/>
      <c r="E389" s="177" t="s">
        <v>14</v>
      </c>
      <c r="F389" s="37">
        <f>SUM(F383:F388)</f>
        <v>158.0619999999999</v>
      </c>
      <c r="G389" s="37">
        <f t="shared" ref="G389:I389" si="152">SUM(G383:G388)</f>
        <v>124.17700000000013</v>
      </c>
      <c r="H389" s="37">
        <f t="shared" si="152"/>
        <v>143.27399999999989</v>
      </c>
      <c r="I389" s="37">
        <f t="shared" si="152"/>
        <v>160.76800000000003</v>
      </c>
      <c r="J389" s="104"/>
      <c r="K389" s="37"/>
      <c r="L389" s="107">
        <f>SUM(L383:L388)</f>
        <v>321.47371367286803</v>
      </c>
      <c r="M389" s="37">
        <f>SUM(M383:M388)</f>
        <v>389.0436237373566</v>
      </c>
      <c r="N389" s="37">
        <f t="shared" ref="N389:Q389" si="153">SUM(N383:N388)</f>
        <v>458.30282693633467</v>
      </c>
      <c r="O389" s="37">
        <f t="shared" si="153"/>
        <v>529.9345938509889</v>
      </c>
      <c r="P389" s="37">
        <f t="shared" si="153"/>
        <v>602.65799080336137</v>
      </c>
      <c r="Q389" s="37">
        <f t="shared" si="153"/>
        <v>677.73673899072946</v>
      </c>
      <c r="R389" s="152"/>
    </row>
    <row r="390" spans="1:30" outlineLevel="1" x14ac:dyDescent="0.3">
      <c r="A390" s="152"/>
      <c r="B390" s="152"/>
      <c r="C390" s="3"/>
      <c r="D390" s="152"/>
      <c r="F390" s="185"/>
      <c r="G390" s="185"/>
      <c r="H390" s="308"/>
      <c r="I390" s="185"/>
      <c r="J390" s="264"/>
      <c r="K390" s="223"/>
      <c r="L390" s="265"/>
      <c r="M390" s="43"/>
      <c r="N390" s="43"/>
      <c r="O390" s="43"/>
      <c r="P390" s="43"/>
      <c r="Q390" s="43"/>
      <c r="R390" s="152"/>
    </row>
    <row r="391" spans="1:30" outlineLevel="1" x14ac:dyDescent="0.3">
      <c r="A391" s="152"/>
      <c r="B391" s="152"/>
      <c r="C391" s="3" t="s">
        <v>72</v>
      </c>
      <c r="D391" s="152"/>
      <c r="E391" s="174" t="s">
        <v>14</v>
      </c>
      <c r="F391" s="38">
        <f>+F389+F380</f>
        <v>778.02899999999988</v>
      </c>
      <c r="G391" s="38">
        <f>+G389+G380</f>
        <v>772.47100000000023</v>
      </c>
      <c r="H391" s="38">
        <f>+H389+H380</f>
        <v>801.80599999999981</v>
      </c>
      <c r="I391" s="38">
        <f>+I389+I380</f>
        <v>791.6110000000001</v>
      </c>
      <c r="J391" s="105"/>
      <c r="K391" s="368"/>
      <c r="L391" s="108">
        <f>+L389+L380</f>
        <v>1718.2213295750284</v>
      </c>
      <c r="M391" s="38">
        <f>+M389+M380</f>
        <v>928.00028453489756</v>
      </c>
      <c r="N391" s="38">
        <f t="shared" ref="N391:Q391" si="154">+N389+N380</f>
        <v>1002.8956592511985</v>
      </c>
      <c r="O391" s="38">
        <f t="shared" si="154"/>
        <v>1080.1565889994781</v>
      </c>
      <c r="P391" s="38">
        <f t="shared" si="154"/>
        <v>1159.2245317188899</v>
      </c>
      <c r="Q391" s="38">
        <f t="shared" si="154"/>
        <v>1240.1413278248156</v>
      </c>
      <c r="R391" s="152"/>
    </row>
    <row r="392" spans="1:30" outlineLevel="1" x14ac:dyDescent="0.3">
      <c r="A392" s="152"/>
      <c r="B392" s="152"/>
      <c r="C392" s="152"/>
      <c r="D392" s="152"/>
      <c r="F392" s="185"/>
      <c r="G392" s="185"/>
      <c r="H392" s="185"/>
      <c r="I392" s="185"/>
      <c r="J392" s="264"/>
      <c r="K392" s="223"/>
      <c r="L392" s="265"/>
      <c r="M392" s="185"/>
      <c r="N392" s="185"/>
      <c r="O392" s="185"/>
      <c r="P392" s="185"/>
      <c r="Q392" s="185"/>
      <c r="R392" s="152"/>
    </row>
    <row r="393" spans="1:30" outlineLevel="1" x14ac:dyDescent="0.3">
      <c r="A393" s="152"/>
      <c r="B393" s="152"/>
      <c r="C393" s="2" t="s">
        <v>73</v>
      </c>
      <c r="D393" s="152"/>
      <c r="F393" s="39">
        <f>+F357-F391</f>
        <v>0</v>
      </c>
      <c r="G393" s="39">
        <f>+G357-G391</f>
        <v>0</v>
      </c>
      <c r="H393" s="39">
        <f>+H357-H391</f>
        <v>0</v>
      </c>
      <c r="I393" s="39">
        <f>+I357-I391</f>
        <v>0</v>
      </c>
      <c r="J393" s="106"/>
      <c r="K393" s="124"/>
      <c r="L393" s="551">
        <f t="shared" ref="L393:Q393" si="155">+L357-L391</f>
        <v>0</v>
      </c>
      <c r="M393" s="124">
        <f t="shared" si="155"/>
        <v>862.31794527806176</v>
      </c>
      <c r="N393" s="124">
        <f t="shared" si="155"/>
        <v>862.31794527806198</v>
      </c>
      <c r="O393" s="124">
        <f t="shared" si="155"/>
        <v>862.31794527806187</v>
      </c>
      <c r="P393" s="124">
        <f t="shared" si="155"/>
        <v>862.31794527806164</v>
      </c>
      <c r="Q393" s="124">
        <f t="shared" si="155"/>
        <v>862.31794527806142</v>
      </c>
      <c r="R393" s="331"/>
    </row>
    <row r="394" spans="1:30" x14ac:dyDescent="0.3">
      <c r="A394" s="152"/>
      <c r="B394" s="152"/>
      <c r="C394" s="152"/>
      <c r="D394" s="152"/>
      <c r="G394" s="2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52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222"/>
    </row>
    <row r="395" spans="1:30" x14ac:dyDescent="0.3">
      <c r="A395" s="152"/>
      <c r="B395" s="171"/>
      <c r="C395" s="172"/>
      <c r="D395" s="172"/>
      <c r="E395" s="169"/>
      <c r="F395" s="157" t="str">
        <f>$F$131</f>
        <v>Historical</v>
      </c>
      <c r="G395" s="158"/>
      <c r="H395" s="159"/>
      <c r="I395" s="159"/>
      <c r="J395" s="165" t="str">
        <f>$J$131</f>
        <v>Transaction Adjustments</v>
      </c>
      <c r="K395" s="166"/>
      <c r="L395" s="167"/>
      <c r="M395" s="157" t="str">
        <f>$M$131</f>
        <v>Projected</v>
      </c>
      <c r="N395" s="158"/>
      <c r="O395" s="158"/>
      <c r="P395" s="158"/>
      <c r="Q395" s="159"/>
      <c r="R395" s="152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36"/>
    </row>
    <row r="396" spans="1:30" x14ac:dyDescent="0.3">
      <c r="A396" s="152"/>
      <c r="B396" s="173" t="s">
        <v>90</v>
      </c>
      <c r="C396" s="173"/>
      <c r="D396" s="173"/>
      <c r="E396" s="170" t="str">
        <f>$E$132</f>
        <v>Units</v>
      </c>
      <c r="F396" s="160">
        <f>$F$132</f>
        <v>40543</v>
      </c>
      <c r="G396" s="161">
        <f>$G$132</f>
        <v>40908</v>
      </c>
      <c r="H396" s="161">
        <f>$H$132</f>
        <v>41274</v>
      </c>
      <c r="I396" s="162">
        <f>$I$132</f>
        <v>41639</v>
      </c>
      <c r="J396" s="164" t="str">
        <f>$J$132</f>
        <v xml:space="preserve">Debit </v>
      </c>
      <c r="K396" s="164" t="str">
        <f>$K$132</f>
        <v>Credit</v>
      </c>
      <c r="L396" s="168">
        <f>$L$132</f>
        <v>41639</v>
      </c>
      <c r="M396" s="160">
        <f>$M$132</f>
        <v>42004</v>
      </c>
      <c r="N396" s="161">
        <f>$N$132</f>
        <v>42369</v>
      </c>
      <c r="O396" s="161">
        <f>$O$132</f>
        <v>42735</v>
      </c>
      <c r="P396" s="160">
        <f>$P$132</f>
        <v>43100</v>
      </c>
      <c r="Q396" s="163">
        <f>$Q$132</f>
        <v>43465</v>
      </c>
      <c r="R396" s="152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36"/>
    </row>
    <row r="397" spans="1:30" outlineLevel="1" x14ac:dyDescent="0.3">
      <c r="A397" s="152"/>
      <c r="B397" s="152"/>
      <c r="C397" s="152"/>
      <c r="D397" s="152"/>
      <c r="G397" s="2"/>
      <c r="H397" s="185"/>
      <c r="I397" s="185"/>
      <c r="J397" s="276"/>
      <c r="K397" s="242"/>
      <c r="L397" s="277"/>
      <c r="M397" s="185"/>
      <c r="N397" s="185"/>
      <c r="O397" s="185"/>
      <c r="P397" s="185"/>
      <c r="Q397" s="185"/>
      <c r="R397" s="152"/>
      <c r="S397" s="58"/>
      <c r="T397" s="328"/>
      <c r="U397" s="58"/>
      <c r="V397" s="58"/>
      <c r="W397" s="58"/>
      <c r="X397" s="58"/>
      <c r="Y397" s="58"/>
      <c r="Z397" s="58"/>
      <c r="AA397" s="58"/>
      <c r="AB397" s="58"/>
      <c r="AC397" s="58"/>
      <c r="AD397" s="536"/>
    </row>
    <row r="398" spans="1:30" outlineLevel="1" x14ac:dyDescent="0.3">
      <c r="A398" s="152"/>
      <c r="B398" s="152"/>
      <c r="C398" s="3" t="s">
        <v>97</v>
      </c>
      <c r="D398" s="152"/>
      <c r="F398" s="2" t="s">
        <v>47</v>
      </c>
      <c r="G398" s="2"/>
      <c r="H398" s="2" t="s">
        <v>47</v>
      </c>
      <c r="I398" s="185" t="s">
        <v>47</v>
      </c>
      <c r="J398" s="264"/>
      <c r="K398" s="223"/>
      <c r="L398" s="265"/>
      <c r="M398" s="185"/>
      <c r="N398" s="185"/>
      <c r="O398" s="185"/>
      <c r="P398" s="185"/>
      <c r="Q398" s="185"/>
      <c r="R398" s="152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36"/>
    </row>
    <row r="399" spans="1:30" outlineLevel="1" x14ac:dyDescent="0.3">
      <c r="A399" s="152"/>
      <c r="B399" s="152"/>
      <c r="C399" s="559" t="s">
        <v>45</v>
      </c>
      <c r="D399" s="239"/>
      <c r="E399" s="383" t="s">
        <v>14</v>
      </c>
      <c r="F399" s="560">
        <v>54.033999999999999</v>
      </c>
      <c r="G399" s="561">
        <v>54.962000000000003</v>
      </c>
      <c r="H399" s="561">
        <v>43.59</v>
      </c>
      <c r="I399" s="561">
        <v>47.823999999999998</v>
      </c>
      <c r="J399" s="562"/>
      <c r="K399" s="563"/>
      <c r="L399" s="564"/>
      <c r="M399" s="561">
        <f>+M309</f>
        <v>59.863092351557547</v>
      </c>
      <c r="N399" s="561">
        <f t="shared" ref="N399:Q399" si="156">+N309</f>
        <v>61.334833567847475</v>
      </c>
      <c r="O399" s="561">
        <f t="shared" si="156"/>
        <v>63.486443067336999</v>
      </c>
      <c r="P399" s="561">
        <f t="shared" si="156"/>
        <v>64.353665096941313</v>
      </c>
      <c r="Q399" s="561">
        <f t="shared" si="156"/>
        <v>66.481102435911779</v>
      </c>
      <c r="R399" s="152"/>
      <c r="S399" s="58"/>
      <c r="T399" s="328"/>
      <c r="U399" s="58"/>
      <c r="V399" s="58"/>
      <c r="W399" s="58"/>
      <c r="X399" s="58"/>
      <c r="Y399" s="58"/>
      <c r="Z399" s="58"/>
      <c r="AA399" s="58"/>
      <c r="AB399" s="58"/>
      <c r="AC399" s="58"/>
      <c r="AD399" s="536"/>
    </row>
    <row r="400" spans="1:30" outlineLevel="1" x14ac:dyDescent="0.3">
      <c r="A400" s="152"/>
      <c r="B400" s="152"/>
      <c r="C400" s="239" t="s">
        <v>100</v>
      </c>
      <c r="D400" s="239"/>
      <c r="E400" s="565"/>
      <c r="F400" s="239"/>
      <c r="G400" s="566"/>
      <c r="H400" s="566"/>
      <c r="I400" s="566"/>
      <c r="J400" s="567"/>
      <c r="K400" s="568"/>
      <c r="L400" s="569"/>
      <c r="M400" s="566"/>
      <c r="N400" s="566"/>
      <c r="O400" s="566"/>
      <c r="P400" s="566"/>
      <c r="Q400" s="566"/>
      <c r="R400" s="152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36"/>
    </row>
    <row r="401" spans="1:30" outlineLevel="1" x14ac:dyDescent="0.3">
      <c r="A401" s="152"/>
      <c r="B401" s="152"/>
      <c r="C401" s="335" t="s">
        <v>189</v>
      </c>
      <c r="D401" s="336"/>
      <c r="E401" s="359" t="s">
        <v>14</v>
      </c>
      <c r="F401" s="201">
        <v>80.679000000000002</v>
      </c>
      <c r="G401" s="392">
        <v>81.56</v>
      </c>
      <c r="H401" s="392">
        <v>79.510000000000005</v>
      </c>
      <c r="I401" s="392">
        <v>79.028000000000006</v>
      </c>
      <c r="J401" s="393"/>
      <c r="K401" s="392"/>
      <c r="L401" s="570"/>
      <c r="M401" s="422">
        <f>+M283</f>
        <v>78.963372499010305</v>
      </c>
      <c r="N401" s="422">
        <f t="shared" ref="N401:Q401" si="157">+N283</f>
        <v>83.922791579342402</v>
      </c>
      <c r="O401" s="422">
        <f t="shared" si="157"/>
        <v>89.436708093512323</v>
      </c>
      <c r="P401" s="422">
        <f t="shared" si="157"/>
        <v>95.744160092722325</v>
      </c>
      <c r="Q401" s="422">
        <f t="shared" si="157"/>
        <v>102.65291608584405</v>
      </c>
      <c r="R401" s="152"/>
      <c r="S401" s="58"/>
      <c r="T401" s="222"/>
      <c r="U401" s="58"/>
      <c r="V401" s="58"/>
      <c r="W401" s="58"/>
      <c r="X401" s="58"/>
      <c r="Y401" s="58"/>
      <c r="Z401" s="58"/>
      <c r="AA401" s="58"/>
      <c r="AB401" s="58"/>
      <c r="AC401" s="58"/>
      <c r="AD401" s="536"/>
    </row>
    <row r="402" spans="1:30" outlineLevel="1" x14ac:dyDescent="0.3">
      <c r="A402" s="152"/>
      <c r="B402" s="152"/>
      <c r="C402" s="306" t="s">
        <v>184</v>
      </c>
      <c r="D402" s="306"/>
      <c r="E402" s="180" t="s">
        <v>14</v>
      </c>
      <c r="F402" s="129">
        <v>0</v>
      </c>
      <c r="G402" s="129">
        <v>0</v>
      </c>
      <c r="H402" s="129">
        <v>0</v>
      </c>
      <c r="I402" s="130">
        <v>0</v>
      </c>
      <c r="J402" s="131"/>
      <c r="K402" s="111"/>
      <c r="L402" s="112"/>
      <c r="M402" s="309"/>
      <c r="N402" s="309"/>
      <c r="O402" s="309"/>
      <c r="P402" s="309"/>
      <c r="Q402" s="309"/>
      <c r="R402" s="152"/>
      <c r="S402" s="58"/>
      <c r="T402" s="328"/>
      <c r="U402" s="58"/>
      <c r="V402" s="58"/>
      <c r="W402" s="58"/>
      <c r="X402" s="58"/>
      <c r="Y402" s="58"/>
      <c r="Z402" s="58"/>
      <c r="AA402" s="58"/>
      <c r="AB402" s="58"/>
      <c r="AC402" s="58"/>
      <c r="AD402" s="536"/>
    </row>
    <row r="403" spans="1:30" outlineLevel="1" x14ac:dyDescent="0.3">
      <c r="A403" s="152"/>
      <c r="B403" s="152"/>
      <c r="C403" s="306" t="s">
        <v>185</v>
      </c>
      <c r="D403" s="306"/>
      <c r="E403" s="180" t="s">
        <v>14</v>
      </c>
      <c r="F403" s="129">
        <v>0</v>
      </c>
      <c r="G403" s="129">
        <v>0</v>
      </c>
      <c r="H403" s="129">
        <v>0</v>
      </c>
      <c r="I403" s="130">
        <v>0</v>
      </c>
      <c r="J403" s="131"/>
      <c r="K403" s="111"/>
      <c r="L403" s="112"/>
      <c r="M403" s="309"/>
      <c r="N403" s="309"/>
      <c r="O403" s="309"/>
      <c r="P403" s="309"/>
      <c r="Q403" s="309"/>
      <c r="R403" s="152"/>
      <c r="S403" s="7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36"/>
    </row>
    <row r="404" spans="1:30" outlineLevel="1" x14ac:dyDescent="0.3">
      <c r="A404" s="152"/>
      <c r="B404" s="152"/>
      <c r="C404" s="305" t="s">
        <v>186</v>
      </c>
      <c r="D404" s="305"/>
      <c r="E404" s="339" t="s">
        <v>14</v>
      </c>
      <c r="F404" s="381">
        <v>0</v>
      </c>
      <c r="G404" s="381">
        <v>0</v>
      </c>
      <c r="H404" s="381">
        <v>0</v>
      </c>
      <c r="I404" s="111">
        <v>0</v>
      </c>
      <c r="J404" s="131"/>
      <c r="K404" s="111"/>
      <c r="L404" s="112"/>
      <c r="M404" s="294"/>
      <c r="N404" s="294"/>
      <c r="O404" s="294"/>
      <c r="P404" s="294"/>
      <c r="Q404" s="294"/>
      <c r="R404" s="152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36"/>
    </row>
    <row r="405" spans="1:30" outlineLevel="1" x14ac:dyDescent="0.3">
      <c r="A405" s="152"/>
      <c r="B405" s="152"/>
      <c r="C405" s="307" t="s">
        <v>310</v>
      </c>
      <c r="D405" s="307"/>
      <c r="E405" s="181" t="s">
        <v>14</v>
      </c>
      <c r="F405" s="132">
        <v>0</v>
      </c>
      <c r="G405" s="132">
        <v>0</v>
      </c>
      <c r="H405" s="132">
        <v>0</v>
      </c>
      <c r="I405" s="114">
        <v>0</v>
      </c>
      <c r="J405" s="133"/>
      <c r="K405" s="114"/>
      <c r="L405" s="115"/>
      <c r="M405" s="310"/>
      <c r="N405" s="310"/>
      <c r="O405" s="310"/>
      <c r="P405" s="310"/>
      <c r="Q405" s="310"/>
      <c r="R405" s="152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36"/>
    </row>
    <row r="406" spans="1:30" outlineLevel="1" x14ac:dyDescent="0.3">
      <c r="A406" s="152"/>
      <c r="B406" s="152"/>
      <c r="C406" s="382" t="s">
        <v>311</v>
      </c>
      <c r="D406" s="239"/>
      <c r="E406" s="383" t="s">
        <v>14</v>
      </c>
      <c r="F406" s="384">
        <v>7.21</v>
      </c>
      <c r="G406" s="385">
        <v>20.292000000000002</v>
      </c>
      <c r="H406" s="385">
        <v>-0.83599999999999997</v>
      </c>
      <c r="I406" s="385">
        <v>-3.0249999999999999</v>
      </c>
      <c r="J406" s="386"/>
      <c r="K406" s="374"/>
      <c r="L406" s="378"/>
      <c r="M406" s="387"/>
      <c r="N406" s="387"/>
      <c r="O406" s="387"/>
      <c r="P406" s="387"/>
      <c r="Q406" s="387"/>
      <c r="R406" s="152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36"/>
    </row>
    <row r="407" spans="1:30" outlineLevel="1" x14ac:dyDescent="0.3">
      <c r="A407" s="152"/>
      <c r="B407" s="152"/>
      <c r="C407" s="382" t="s">
        <v>112</v>
      </c>
      <c r="D407" s="239"/>
      <c r="E407" s="383" t="s">
        <v>14</v>
      </c>
      <c r="F407" s="384">
        <v>0</v>
      </c>
      <c r="G407" s="385">
        <v>0</v>
      </c>
      <c r="H407" s="385">
        <v>0</v>
      </c>
      <c r="I407" s="385">
        <v>0</v>
      </c>
      <c r="J407" s="386"/>
      <c r="K407" s="374"/>
      <c r="L407" s="378"/>
      <c r="M407" s="387"/>
      <c r="N407" s="387"/>
      <c r="O407" s="387"/>
      <c r="P407" s="387"/>
      <c r="Q407" s="387"/>
      <c r="R407" s="152"/>
      <c r="S407" s="7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36"/>
    </row>
    <row r="408" spans="1:30" outlineLevel="1" x14ac:dyDescent="0.3">
      <c r="A408" s="152"/>
      <c r="B408" s="152"/>
      <c r="C408" s="382" t="s">
        <v>197</v>
      </c>
      <c r="D408" s="239"/>
      <c r="E408" s="383" t="s">
        <v>14</v>
      </c>
      <c r="F408" s="384">
        <v>7.3380000000000001</v>
      </c>
      <c r="G408" s="385">
        <v>7.1849999999999996</v>
      </c>
      <c r="H408" s="385">
        <v>7.468</v>
      </c>
      <c r="I408" s="385">
        <v>8.4809999999999999</v>
      </c>
      <c r="J408" s="386"/>
      <c r="K408" s="374"/>
      <c r="L408" s="378"/>
      <c r="M408" s="387">
        <f>+M267*M238</f>
        <v>7.885817712931031</v>
      </c>
      <c r="N408" s="387">
        <f t="shared" ref="N408:Q408" si="158">+N267*N238</f>
        <v>8.1033696311305867</v>
      </c>
      <c r="O408" s="387">
        <f t="shared" si="158"/>
        <v>8.3243238473171886</v>
      </c>
      <c r="P408" s="387">
        <f t="shared" si="158"/>
        <v>8.5487318554312228</v>
      </c>
      <c r="Q408" s="387">
        <f t="shared" si="158"/>
        <v>8.7766457514561846</v>
      </c>
      <c r="R408" s="152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36"/>
    </row>
    <row r="409" spans="1:30" outlineLevel="1" x14ac:dyDescent="0.3">
      <c r="A409" s="152"/>
      <c r="B409" s="152"/>
      <c r="C409" s="382" t="s">
        <v>35</v>
      </c>
      <c r="D409" s="239"/>
      <c r="E409" s="383" t="s">
        <v>14</v>
      </c>
      <c r="F409" s="384">
        <v>0.93600000000000005</v>
      </c>
      <c r="G409" s="385">
        <v>2.7389999999999999</v>
      </c>
      <c r="H409" s="385">
        <v>6.7519999999999998</v>
      </c>
      <c r="I409" s="385">
        <v>3.0510000000000002</v>
      </c>
      <c r="J409" s="386"/>
      <c r="K409" s="374"/>
      <c r="L409" s="378"/>
      <c r="M409" s="387">
        <f>+M291</f>
        <v>0</v>
      </c>
      <c r="N409" s="387">
        <f t="shared" ref="N409:Q409" si="159">+N291</f>
        <v>0</v>
      </c>
      <c r="O409" s="387">
        <f t="shared" si="159"/>
        <v>0</v>
      </c>
      <c r="P409" s="387">
        <f t="shared" si="159"/>
        <v>0</v>
      </c>
      <c r="Q409" s="387">
        <f t="shared" si="159"/>
        <v>0</v>
      </c>
      <c r="R409" s="152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36"/>
    </row>
    <row r="410" spans="1:30" outlineLevel="1" x14ac:dyDescent="0.3">
      <c r="A410" s="152"/>
      <c r="B410" s="152"/>
      <c r="C410" s="382" t="s">
        <v>326</v>
      </c>
      <c r="D410" s="239"/>
      <c r="E410" s="383" t="s">
        <v>14</v>
      </c>
      <c r="F410" s="384">
        <v>0</v>
      </c>
      <c r="G410" s="385">
        <v>0</v>
      </c>
      <c r="H410" s="385">
        <v>0</v>
      </c>
      <c r="I410" s="385">
        <v>0</v>
      </c>
      <c r="J410" s="386"/>
      <c r="K410" s="374"/>
      <c r="L410" s="378"/>
      <c r="M410" s="387">
        <f>+M292</f>
        <v>0</v>
      </c>
      <c r="N410" s="387">
        <f t="shared" ref="N410:Q410" si="160">+N292</f>
        <v>0</v>
      </c>
      <c r="O410" s="387">
        <f t="shared" si="160"/>
        <v>0</v>
      </c>
      <c r="P410" s="387">
        <f t="shared" si="160"/>
        <v>0</v>
      </c>
      <c r="Q410" s="387">
        <f t="shared" si="160"/>
        <v>0</v>
      </c>
      <c r="R410" s="152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36"/>
    </row>
    <row r="411" spans="1:30" outlineLevel="1" x14ac:dyDescent="0.3">
      <c r="A411" s="152"/>
      <c r="B411" s="152"/>
      <c r="C411" s="382" t="s">
        <v>313</v>
      </c>
      <c r="D411" s="239"/>
      <c r="E411" s="383" t="s">
        <v>14</v>
      </c>
      <c r="F411" s="384">
        <v>1.5669999999999999</v>
      </c>
      <c r="G411" s="385">
        <v>1.7950000000000002</v>
      </c>
      <c r="H411" s="385">
        <v>2.2349999999999994</v>
      </c>
      <c r="I411" s="385">
        <v>1.5370000000000001</v>
      </c>
      <c r="J411" s="386"/>
      <c r="K411" s="374"/>
      <c r="L411" s="378"/>
      <c r="M411" s="387">
        <f>+M240</f>
        <v>1.7834999999999999</v>
      </c>
      <c r="N411" s="387">
        <f t="shared" ref="N411:Q411" si="161">+N240</f>
        <v>1.7834999999999999</v>
      </c>
      <c r="O411" s="387">
        <f t="shared" si="161"/>
        <v>1.7834999999999999</v>
      </c>
      <c r="P411" s="387">
        <f t="shared" si="161"/>
        <v>1.7834999999999999</v>
      </c>
      <c r="Q411" s="387">
        <f t="shared" si="161"/>
        <v>1.7834999999999999</v>
      </c>
      <c r="R411" s="152"/>
      <c r="S411" s="58"/>
      <c r="T411" s="328"/>
      <c r="U411" s="58"/>
      <c r="V411" s="58"/>
      <c r="W411" s="58"/>
      <c r="X411" s="58"/>
      <c r="Y411" s="58"/>
      <c r="Z411" s="58"/>
      <c r="AA411" s="58"/>
      <c r="AB411" s="58"/>
      <c r="AC411" s="58"/>
      <c r="AD411" s="536"/>
    </row>
    <row r="412" spans="1:30" outlineLevel="1" x14ac:dyDescent="0.3">
      <c r="A412" s="152"/>
      <c r="B412" s="152"/>
      <c r="C412" s="559" t="s">
        <v>101</v>
      </c>
      <c r="D412" s="239"/>
      <c r="E412" s="565"/>
      <c r="F412" s="239"/>
      <c r="G412" s="566"/>
      <c r="H412" s="566"/>
      <c r="I412" s="566"/>
      <c r="J412" s="567"/>
      <c r="K412" s="568"/>
      <c r="L412" s="569"/>
      <c r="M412" s="566"/>
      <c r="N412" s="566"/>
      <c r="O412" s="566"/>
      <c r="P412" s="566"/>
      <c r="Q412" s="566"/>
      <c r="R412" s="152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36"/>
    </row>
    <row r="413" spans="1:30" outlineLevel="1" x14ac:dyDescent="0.3">
      <c r="A413" s="152"/>
      <c r="B413" s="152"/>
      <c r="C413" s="382" t="s">
        <v>57</v>
      </c>
      <c r="D413" s="239"/>
      <c r="E413" s="383" t="s">
        <v>14</v>
      </c>
      <c r="F413" s="384">
        <v>1.1319999999999999</v>
      </c>
      <c r="G413" s="385">
        <v>3.113</v>
      </c>
      <c r="H413" s="385">
        <v>-1.587</v>
      </c>
      <c r="I413" s="385">
        <v>0.57799999999999996</v>
      </c>
      <c r="J413" s="386"/>
      <c r="K413" s="374"/>
      <c r="L413" s="378"/>
      <c r="M413" s="387">
        <f>+L343-M343</f>
        <v>-3.02040886861354</v>
      </c>
      <c r="N413" s="387">
        <f>+M343-N343</f>
        <v>-0.76973691769256192</v>
      </c>
      <c r="O413" s="387">
        <f t="shared" ref="O413:Q413" si="162">+N343-O343</f>
        <v>-0.78177484586757373</v>
      </c>
      <c r="P413" s="387">
        <f t="shared" si="162"/>
        <v>-0.79399496865285357</v>
      </c>
      <c r="Q413" s="387">
        <f t="shared" si="162"/>
        <v>-0.80639941618274236</v>
      </c>
      <c r="R413" s="152"/>
      <c r="S413" s="58"/>
      <c r="T413" s="328"/>
      <c r="U413" s="58"/>
      <c r="V413" s="58"/>
      <c r="W413" s="58"/>
      <c r="X413" s="58"/>
      <c r="Y413" s="58"/>
      <c r="Z413" s="58"/>
      <c r="AA413" s="58"/>
      <c r="AB413" s="58"/>
      <c r="AC413" s="58"/>
      <c r="AD413" s="536"/>
    </row>
    <row r="414" spans="1:30" outlineLevel="1" x14ac:dyDescent="0.3">
      <c r="A414" s="152"/>
      <c r="B414" s="152"/>
      <c r="C414" s="382" t="s">
        <v>58</v>
      </c>
      <c r="D414" s="239"/>
      <c r="E414" s="383" t="s">
        <v>14</v>
      </c>
      <c r="F414" s="384">
        <v>-0.42299999999999999</v>
      </c>
      <c r="G414" s="385">
        <v>-0.71399999999999997</v>
      </c>
      <c r="H414" s="385">
        <v>-0.59399999999999997</v>
      </c>
      <c r="I414" s="385">
        <v>-0.36799999999999999</v>
      </c>
      <c r="J414" s="386"/>
      <c r="K414" s="374"/>
      <c r="L414" s="378"/>
      <c r="M414" s="387">
        <f>+L344-M344</f>
        <v>-0.51073631810201903</v>
      </c>
      <c r="N414" s="387">
        <f t="shared" ref="N414:Q415" si="163">+M344-N344</f>
        <v>-0.51217523997186376</v>
      </c>
      <c r="O414" s="387">
        <f t="shared" si="163"/>
        <v>-0.50870551282080356</v>
      </c>
      <c r="P414" s="387">
        <f t="shared" si="163"/>
        <v>-0.67835356914264366</v>
      </c>
      <c r="Q414" s="387">
        <f t="shared" si="163"/>
        <v>-0.68990909984541915</v>
      </c>
      <c r="R414" s="152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36"/>
    </row>
    <row r="415" spans="1:30" outlineLevel="1" x14ac:dyDescent="0.3">
      <c r="A415" s="152"/>
      <c r="B415" s="152"/>
      <c r="C415" s="382" t="s">
        <v>59</v>
      </c>
      <c r="D415" s="239"/>
      <c r="E415" s="383" t="s">
        <v>14</v>
      </c>
      <c r="F415" s="384">
        <v>1E-3</v>
      </c>
      <c r="G415" s="385">
        <v>-1.7210000000000001</v>
      </c>
      <c r="H415" s="385">
        <v>-4.1500000000000004</v>
      </c>
      <c r="I415" s="385">
        <v>-1.27</v>
      </c>
      <c r="J415" s="386"/>
      <c r="K415" s="374"/>
      <c r="L415" s="378"/>
      <c r="M415" s="387">
        <f>+L345-M345</f>
        <v>-1.794160973365635</v>
      </c>
      <c r="N415" s="387">
        <f t="shared" si="163"/>
        <v>-1.9646753149633085</v>
      </c>
      <c r="O415" s="387">
        <f t="shared" si="163"/>
        <v>-2.0150842030489144</v>
      </c>
      <c r="P415" s="387">
        <f t="shared" si="163"/>
        <v>-2.1507944359691713</v>
      </c>
      <c r="Q415" s="387">
        <f t="shared" si="163"/>
        <v>-2.1585966250282524</v>
      </c>
      <c r="R415" s="152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36"/>
    </row>
    <row r="416" spans="1:30" outlineLevel="1" x14ac:dyDescent="0.3">
      <c r="A416" s="152"/>
      <c r="B416" s="152"/>
      <c r="C416" s="382" t="s">
        <v>60</v>
      </c>
      <c r="D416" s="239"/>
      <c r="E416" s="383" t="s">
        <v>14</v>
      </c>
      <c r="F416" s="384">
        <v>6.7229999999999999</v>
      </c>
      <c r="G416" s="385">
        <v>-2.4159999999999999</v>
      </c>
      <c r="H416" s="385">
        <v>0.374</v>
      </c>
      <c r="I416" s="385">
        <v>-2.355</v>
      </c>
      <c r="J416" s="386"/>
      <c r="K416" s="374"/>
      <c r="L416" s="378"/>
      <c r="M416" s="387">
        <f>+M361-L361</f>
        <v>-0.61996659195227011</v>
      </c>
      <c r="N416" s="387">
        <f>+N361-M361</f>
        <v>0.47394385768537717</v>
      </c>
      <c r="O416" s="387">
        <f t="shared" ref="O416:Q416" si="164">+O361-N361</f>
        <v>0.45656785193898486</v>
      </c>
      <c r="P416" s="387">
        <f t="shared" si="164"/>
        <v>0.73681473138164932</v>
      </c>
      <c r="Q416" s="387">
        <f t="shared" si="164"/>
        <v>0.739172437587861</v>
      </c>
      <c r="R416" s="152"/>
      <c r="S416" s="222"/>
      <c r="T416" s="222"/>
      <c r="U416" s="222"/>
      <c r="V416" s="222"/>
      <c r="W416" s="222"/>
      <c r="X416" s="222"/>
      <c r="Y416" s="536"/>
      <c r="Z416" s="536"/>
      <c r="AA416" s="536"/>
      <c r="AB416" s="536"/>
      <c r="AC416" s="536"/>
    </row>
    <row r="417" spans="1:29" outlineLevel="1" x14ac:dyDescent="0.3">
      <c r="A417" s="152"/>
      <c r="B417" s="152"/>
      <c r="C417" s="382" t="s">
        <v>61</v>
      </c>
      <c r="D417" s="239"/>
      <c r="E417" s="383" t="s">
        <v>14</v>
      </c>
      <c r="F417" s="384">
        <v>0.33600000000000002</v>
      </c>
      <c r="G417" s="385">
        <v>-0.34899999999999998</v>
      </c>
      <c r="H417" s="385">
        <v>1.1319999999999999</v>
      </c>
      <c r="I417" s="385">
        <v>-0.34399999999999997</v>
      </c>
      <c r="J417" s="386"/>
      <c r="K417" s="374"/>
      <c r="L417" s="378"/>
      <c r="M417" s="387">
        <f>+M362-L362</f>
        <v>1.7555350526141211</v>
      </c>
      <c r="N417" s="387">
        <f t="shared" ref="N417:Q419" si="165">+N362-M362</f>
        <v>1.1008686066777003</v>
      </c>
      <c r="O417" s="387">
        <f t="shared" si="165"/>
        <v>1.0618037405265213</v>
      </c>
      <c r="P417" s="387">
        <f t="shared" si="165"/>
        <v>1.1473193291113404</v>
      </c>
      <c r="Q417" s="387">
        <f t="shared" si="165"/>
        <v>1.0509582798226873</v>
      </c>
      <c r="R417" s="152"/>
      <c r="S417" s="222"/>
      <c r="T417" s="222"/>
      <c r="U417" s="222"/>
      <c r="V417" s="222"/>
      <c r="W417" s="222"/>
      <c r="X417" s="222"/>
      <c r="Y417" s="536"/>
      <c r="Z417" s="536"/>
      <c r="AA417" s="536"/>
      <c r="AB417" s="536"/>
      <c r="AC417" s="536"/>
    </row>
    <row r="418" spans="1:29" outlineLevel="1" x14ac:dyDescent="0.3">
      <c r="A418" s="152"/>
      <c r="B418" s="152"/>
      <c r="C418" s="382" t="s">
        <v>62</v>
      </c>
      <c r="D418" s="239"/>
      <c r="E418" s="383" t="s">
        <v>14</v>
      </c>
      <c r="F418" s="384">
        <v>1.748</v>
      </c>
      <c r="G418" s="385">
        <v>0.46</v>
      </c>
      <c r="H418" s="385">
        <v>1.925</v>
      </c>
      <c r="I418" s="385">
        <v>2.7349999999999999</v>
      </c>
      <c r="J418" s="386"/>
      <c r="K418" s="374"/>
      <c r="L418" s="378"/>
      <c r="M418" s="387">
        <f>+M363-L363</f>
        <v>1.5446305084426992</v>
      </c>
      <c r="N418" s="387">
        <f t="shared" si="165"/>
        <v>2.1786798230367594</v>
      </c>
      <c r="O418" s="387">
        <f t="shared" si="165"/>
        <v>2.2802712135007752</v>
      </c>
      <c r="P418" s="387">
        <f t="shared" si="165"/>
        <v>2.3841870534944967</v>
      </c>
      <c r="Q418" s="387">
        <f t="shared" si="165"/>
        <v>2.4904732090413653</v>
      </c>
      <c r="R418" s="152"/>
      <c r="S418" s="222"/>
      <c r="T418" s="222"/>
      <c r="U418" s="222"/>
      <c r="V418" s="222"/>
      <c r="W418" s="222"/>
      <c r="X418" s="222"/>
      <c r="Y418" s="536"/>
      <c r="Z418" s="536"/>
      <c r="AA418" s="536"/>
      <c r="AB418" s="536"/>
      <c r="AC418" s="536"/>
    </row>
    <row r="419" spans="1:29" outlineLevel="1" x14ac:dyDescent="0.3">
      <c r="A419" s="152"/>
      <c r="B419" s="152"/>
      <c r="C419" s="382" t="s">
        <v>315</v>
      </c>
      <c r="D419" s="239"/>
      <c r="E419" s="383" t="s">
        <v>14</v>
      </c>
      <c r="F419" s="384">
        <v>0.11799999999999999</v>
      </c>
      <c r="G419" s="385">
        <v>-3.6999999999999998E-2</v>
      </c>
      <c r="H419" s="385">
        <v>-0.376</v>
      </c>
      <c r="I419" s="385">
        <v>-0.73</v>
      </c>
      <c r="J419" s="386"/>
      <c r="K419" s="374"/>
      <c r="L419" s="378"/>
      <c r="M419" s="387">
        <f>+M364-L364</f>
        <v>1.7217815355647252</v>
      </c>
      <c r="N419" s="387">
        <f t="shared" si="165"/>
        <v>9.6636490382482343E-2</v>
      </c>
      <c r="O419" s="387">
        <f t="shared" si="165"/>
        <v>9.3207296799149741E-2</v>
      </c>
      <c r="P419" s="387">
        <f t="shared" si="165"/>
        <v>0.10071402948614017</v>
      </c>
      <c r="Q419" s="387">
        <f t="shared" si="165"/>
        <v>9.2255260150414298E-2</v>
      </c>
      <c r="R419" s="152"/>
      <c r="S419" s="222"/>
      <c r="T419" s="222"/>
      <c r="U419" s="222"/>
      <c r="V419" s="222"/>
      <c r="W419" s="222"/>
      <c r="X419" s="222"/>
      <c r="Y419" s="536"/>
      <c r="Z419" s="536"/>
      <c r="AA419" s="536"/>
      <c r="AB419" s="536"/>
      <c r="AC419" s="536"/>
    </row>
    <row r="420" spans="1:29" outlineLevel="1" x14ac:dyDescent="0.3">
      <c r="A420" s="152"/>
      <c r="B420" s="152"/>
      <c r="C420" s="335" t="s">
        <v>65</v>
      </c>
      <c r="D420" s="336"/>
      <c r="E420" s="359" t="s">
        <v>14</v>
      </c>
      <c r="F420" s="201">
        <v>-4.5289999999999999</v>
      </c>
      <c r="G420" s="385">
        <v>10.364000000000001</v>
      </c>
      <c r="H420" s="385">
        <v>1.6490000000000002</v>
      </c>
      <c r="I420" s="385">
        <v>3.5220000000000002</v>
      </c>
      <c r="J420" s="386"/>
      <c r="K420" s="374"/>
      <c r="L420" s="378"/>
      <c r="M420" s="387">
        <f>+M370-L370</f>
        <v>1.637033028867819</v>
      </c>
      <c r="N420" s="387">
        <f>+N370-M370</f>
        <v>3.2659198171122341</v>
      </c>
      <c r="O420" s="387">
        <f t="shared" ref="O420:Q420" si="166">+O370-N370</f>
        <v>3.1500270395890482</v>
      </c>
      <c r="P420" s="387">
        <f t="shared" si="166"/>
        <v>3.4037240327970153</v>
      </c>
      <c r="Q420" s="387">
        <f t="shared" si="166"/>
        <v>3.1178520780872674</v>
      </c>
      <c r="R420" s="152"/>
      <c r="S420" s="222"/>
      <c r="T420" s="222"/>
      <c r="U420" s="222"/>
      <c r="V420" s="222"/>
      <c r="W420" s="222"/>
      <c r="X420" s="222"/>
      <c r="Y420" s="536"/>
      <c r="Z420" s="536"/>
      <c r="AA420" s="536"/>
      <c r="AB420" s="536"/>
      <c r="AC420" s="536"/>
    </row>
    <row r="421" spans="1:29" outlineLevel="1" x14ac:dyDescent="0.3">
      <c r="A421" s="152"/>
      <c r="B421" s="152"/>
      <c r="C421" s="210" t="s">
        <v>102</v>
      </c>
      <c r="D421" s="239"/>
      <c r="E421" s="383" t="s">
        <v>14</v>
      </c>
      <c r="F421" s="572">
        <f>SUM(F399:F420)</f>
        <v>156.87000000000003</v>
      </c>
      <c r="G421" s="573">
        <f>SUM(G399:G420)</f>
        <v>177.233</v>
      </c>
      <c r="H421" s="573">
        <f>SUM(H399:H420)</f>
        <v>137.09200000000001</v>
      </c>
      <c r="I421" s="573">
        <f>SUM(I399:I420)</f>
        <v>138.66400000000002</v>
      </c>
      <c r="J421" s="574"/>
      <c r="K421" s="573"/>
      <c r="L421" s="575"/>
      <c r="M421" s="573">
        <f>SUM(M399:M420)</f>
        <v>149.20948993695478</v>
      </c>
      <c r="N421" s="573">
        <f t="shared" ref="N421:Q421" si="167">SUM(N399:N420)</f>
        <v>159.01395590058729</v>
      </c>
      <c r="O421" s="573">
        <f t="shared" si="167"/>
        <v>166.76728758878372</v>
      </c>
      <c r="P421" s="573">
        <f t="shared" si="167"/>
        <v>174.57967324760079</v>
      </c>
      <c r="Q421" s="573">
        <f t="shared" si="167"/>
        <v>183.52997039684516</v>
      </c>
      <c r="R421" s="152"/>
      <c r="S421" s="222"/>
      <c r="T421" s="222"/>
      <c r="U421" s="222"/>
      <c r="V421" s="222"/>
      <c r="W421" s="222"/>
      <c r="X421" s="222"/>
      <c r="Y421" s="536"/>
      <c r="Z421" s="536"/>
      <c r="AA421" s="536"/>
      <c r="AB421" s="536"/>
      <c r="AC421" s="536"/>
    </row>
    <row r="422" spans="1:29" outlineLevel="1" x14ac:dyDescent="0.3">
      <c r="A422" s="152"/>
      <c r="B422" s="152"/>
      <c r="C422" s="239"/>
      <c r="D422" s="239"/>
      <c r="E422" s="565"/>
      <c r="F422" s="576"/>
      <c r="G422" s="576"/>
      <c r="H422" s="576"/>
      <c r="I422" s="576"/>
      <c r="J422" s="577"/>
      <c r="K422" s="578"/>
      <c r="L422" s="579"/>
      <c r="M422" s="566"/>
      <c r="N422" s="566"/>
      <c r="O422" s="566"/>
      <c r="P422" s="566"/>
      <c r="Q422" s="566"/>
      <c r="R422" s="152"/>
      <c r="S422" s="222"/>
      <c r="T422" s="222"/>
      <c r="U422" s="222"/>
      <c r="V422" s="222"/>
      <c r="W422" s="222"/>
      <c r="X422" s="222"/>
      <c r="Y422" s="536"/>
      <c r="Z422" s="536"/>
      <c r="AA422" s="536"/>
      <c r="AB422" s="536"/>
      <c r="AC422" s="536"/>
    </row>
    <row r="423" spans="1:29" outlineLevel="1" x14ac:dyDescent="0.3">
      <c r="A423" s="152"/>
      <c r="B423" s="152"/>
      <c r="C423" s="559" t="s">
        <v>98</v>
      </c>
      <c r="D423" s="239"/>
      <c r="E423" s="565"/>
      <c r="F423" s="239"/>
      <c r="G423" s="566" t="s">
        <v>47</v>
      </c>
      <c r="H423" s="566" t="s">
        <v>47</v>
      </c>
      <c r="I423" s="566" t="s">
        <v>47</v>
      </c>
      <c r="J423" s="567"/>
      <c r="K423" s="568"/>
      <c r="L423" s="569"/>
      <c r="M423" s="566"/>
      <c r="N423" s="566"/>
      <c r="O423" s="566"/>
      <c r="P423" s="566"/>
      <c r="Q423" s="566"/>
      <c r="R423" s="152"/>
      <c r="S423" s="222"/>
      <c r="T423" s="222"/>
      <c r="U423" s="222"/>
      <c r="V423" s="222"/>
      <c r="W423" s="222"/>
      <c r="X423" s="222"/>
      <c r="Y423" s="536"/>
      <c r="Z423" s="536"/>
      <c r="AA423" s="536"/>
      <c r="AB423" s="536"/>
      <c r="AC423" s="536"/>
    </row>
    <row r="424" spans="1:29" outlineLevel="1" x14ac:dyDescent="0.3">
      <c r="A424" s="152"/>
      <c r="B424" s="152"/>
      <c r="C424" s="382" t="s">
        <v>334</v>
      </c>
      <c r="D424" s="239"/>
      <c r="E424" s="383" t="s">
        <v>14</v>
      </c>
      <c r="F424" s="384">
        <v>-99.843999999999994</v>
      </c>
      <c r="G424" s="385">
        <v>-94.668999999999997</v>
      </c>
      <c r="H424" s="385">
        <v>-99.489000000000004</v>
      </c>
      <c r="I424" s="385">
        <v>-74.084999999999994</v>
      </c>
      <c r="J424" s="386"/>
      <c r="K424" s="374"/>
      <c r="L424" s="378"/>
      <c r="M424" s="387">
        <f>-M209</f>
        <v>-89.700613380862933</v>
      </c>
      <c r="N424" s="387">
        <f t="shared" ref="N424:Q424" si="168">-N209</f>
        <v>-91.599088686116971</v>
      </c>
      <c r="O424" s="387">
        <f t="shared" si="168"/>
        <v>-101.1136296001133</v>
      </c>
      <c r="P424" s="387">
        <f t="shared" si="168"/>
        <v>-113.68355922012039</v>
      </c>
      <c r="Q424" s="387">
        <f t="shared" si="168"/>
        <v>-123.91243022941862</v>
      </c>
      <c r="R424" s="152"/>
      <c r="S424" s="222"/>
      <c r="T424" s="222"/>
      <c r="U424" s="222"/>
      <c r="V424" s="222"/>
      <c r="W424" s="222"/>
      <c r="X424" s="222"/>
      <c r="Y424" s="536"/>
      <c r="Z424" s="536"/>
      <c r="AA424" s="536"/>
      <c r="AB424" s="536"/>
      <c r="AC424" s="536"/>
    </row>
    <row r="425" spans="1:29" outlineLevel="1" x14ac:dyDescent="0.3">
      <c r="A425" s="152"/>
      <c r="B425" s="152"/>
      <c r="C425" s="335" t="s">
        <v>103</v>
      </c>
      <c r="D425" s="336"/>
      <c r="E425" s="359" t="s">
        <v>14</v>
      </c>
      <c r="F425" s="201">
        <v>-3.0249999999999999</v>
      </c>
      <c r="G425" s="392">
        <v>1.7000000000000001E-2</v>
      </c>
      <c r="H425" s="392">
        <v>0.58599999999999997</v>
      </c>
      <c r="I425" s="392">
        <v>3.1429999999999998</v>
      </c>
      <c r="J425" s="393"/>
      <c r="K425" s="392"/>
      <c r="L425" s="570"/>
      <c r="M425" s="422">
        <f>+M241</f>
        <v>0</v>
      </c>
      <c r="N425" s="422">
        <f t="shared" ref="N425:Q425" si="169">+N241</f>
        <v>0</v>
      </c>
      <c r="O425" s="422">
        <f t="shared" si="169"/>
        <v>0</v>
      </c>
      <c r="P425" s="422">
        <f t="shared" si="169"/>
        <v>0</v>
      </c>
      <c r="Q425" s="422">
        <f t="shared" si="169"/>
        <v>0</v>
      </c>
      <c r="R425" s="152"/>
      <c r="S425" s="222"/>
      <c r="T425" s="222"/>
      <c r="U425" s="222"/>
      <c r="V425" s="222"/>
      <c r="W425" s="222"/>
      <c r="X425" s="222"/>
      <c r="Y425" s="536"/>
      <c r="Z425" s="536"/>
      <c r="AA425" s="536"/>
      <c r="AB425" s="536"/>
      <c r="AC425" s="536"/>
    </row>
    <row r="426" spans="1:29" outlineLevel="1" x14ac:dyDescent="0.3">
      <c r="A426" s="152"/>
      <c r="B426" s="152"/>
      <c r="C426" s="210" t="s">
        <v>104</v>
      </c>
      <c r="D426" s="239"/>
      <c r="E426" s="383" t="s">
        <v>14</v>
      </c>
      <c r="F426" s="572">
        <f>SUM(F424:F425)</f>
        <v>-102.869</v>
      </c>
      <c r="G426" s="572">
        <f>SUM(G424:G425)</f>
        <v>-94.652000000000001</v>
      </c>
      <c r="H426" s="572">
        <f>SUM(H424:H425)</f>
        <v>-98.903000000000006</v>
      </c>
      <c r="I426" s="572">
        <f>SUM(I424:I425)</f>
        <v>-70.941999999999993</v>
      </c>
      <c r="J426" s="580"/>
      <c r="K426" s="572"/>
      <c r="L426" s="581"/>
      <c r="M426" s="572">
        <f>SUM(M424:M425)</f>
        <v>-89.700613380862933</v>
      </c>
      <c r="N426" s="572">
        <f t="shared" ref="N426:Q426" si="170">SUM(N424:N425)</f>
        <v>-91.599088686116971</v>
      </c>
      <c r="O426" s="572">
        <f t="shared" si="170"/>
        <v>-101.1136296001133</v>
      </c>
      <c r="P426" s="572">
        <f t="shared" si="170"/>
        <v>-113.68355922012039</v>
      </c>
      <c r="Q426" s="572">
        <f t="shared" si="170"/>
        <v>-123.91243022941862</v>
      </c>
      <c r="R426" s="152"/>
      <c r="S426" s="222"/>
      <c r="T426" s="222"/>
      <c r="U426" s="222"/>
      <c r="V426" s="222"/>
      <c r="W426" s="222"/>
      <c r="X426" s="222"/>
      <c r="Y426" s="536"/>
      <c r="Z426" s="536"/>
      <c r="AA426" s="536"/>
      <c r="AB426" s="536"/>
      <c r="AC426" s="536"/>
    </row>
    <row r="427" spans="1:29" outlineLevel="1" x14ac:dyDescent="0.3">
      <c r="A427" s="152"/>
      <c r="B427" s="152"/>
      <c r="C427" s="239"/>
      <c r="D427" s="239"/>
      <c r="E427" s="565"/>
      <c r="F427" s="566"/>
      <c r="G427" s="566"/>
      <c r="H427" s="566"/>
      <c r="I427" s="566"/>
      <c r="J427" s="567"/>
      <c r="K427" s="568"/>
      <c r="L427" s="569"/>
      <c r="M427" s="582"/>
      <c r="N427" s="566"/>
      <c r="O427" s="566"/>
      <c r="P427" s="566"/>
      <c r="Q427" s="566"/>
      <c r="R427" s="152"/>
      <c r="S427" s="222"/>
      <c r="T427" s="222"/>
      <c r="U427" s="222"/>
      <c r="V427" s="222"/>
      <c r="W427" s="222"/>
      <c r="X427" s="222"/>
      <c r="Y427" s="536"/>
      <c r="Z427" s="536"/>
      <c r="AA427" s="536"/>
      <c r="AB427" s="536"/>
      <c r="AC427" s="536"/>
    </row>
    <row r="428" spans="1:29" outlineLevel="1" x14ac:dyDescent="0.3">
      <c r="A428" s="152"/>
      <c r="B428" s="152"/>
      <c r="C428" s="559" t="s">
        <v>99</v>
      </c>
      <c r="D428" s="239"/>
      <c r="E428" s="565"/>
      <c r="F428" s="565"/>
      <c r="G428" s="566"/>
      <c r="H428" s="566"/>
      <c r="I428" s="566"/>
      <c r="J428" s="567"/>
      <c r="K428" s="568"/>
      <c r="L428" s="569"/>
      <c r="M428" s="566"/>
      <c r="N428" s="566"/>
      <c r="O428" s="566"/>
      <c r="P428" s="566"/>
      <c r="Q428" s="566"/>
      <c r="R428" s="152"/>
      <c r="S428" s="222"/>
      <c r="T428" s="222"/>
      <c r="U428" s="222"/>
      <c r="V428" s="222"/>
      <c r="W428" s="222"/>
      <c r="X428" s="222"/>
      <c r="Y428" s="536"/>
      <c r="Z428" s="536"/>
      <c r="AA428" s="536"/>
      <c r="AB428" s="536"/>
      <c r="AC428" s="536"/>
    </row>
    <row r="429" spans="1:29" outlineLevel="1" x14ac:dyDescent="0.3">
      <c r="A429" s="152"/>
      <c r="B429" s="152"/>
      <c r="C429" s="382" t="s">
        <v>105</v>
      </c>
      <c r="D429" s="239"/>
      <c r="E429" s="383" t="s">
        <v>14</v>
      </c>
      <c r="F429" s="384">
        <v>22.7</v>
      </c>
      <c r="G429" s="385">
        <v>12.6</v>
      </c>
      <c r="H429" s="385">
        <v>-0.1</v>
      </c>
      <c r="I429" s="385">
        <v>-28</v>
      </c>
      <c r="J429" s="386"/>
      <c r="K429" s="374"/>
      <c r="L429" s="378"/>
      <c r="M429" s="398">
        <f>+M252</f>
        <v>0</v>
      </c>
      <c r="N429" s="398">
        <f t="shared" ref="N429:Q429" si="171">+N252</f>
        <v>0</v>
      </c>
      <c r="O429" s="398">
        <f t="shared" si="171"/>
        <v>0</v>
      </c>
      <c r="P429" s="398">
        <f t="shared" si="171"/>
        <v>0</v>
      </c>
      <c r="Q429" s="398">
        <f t="shared" si="171"/>
        <v>0</v>
      </c>
      <c r="R429" s="331"/>
      <c r="S429" s="222"/>
      <c r="T429" s="222"/>
      <c r="U429" s="222"/>
      <c r="V429" s="222"/>
      <c r="W429" s="222"/>
      <c r="X429" s="222"/>
      <c r="Y429" s="536"/>
      <c r="Z429" s="536"/>
      <c r="AA429" s="536"/>
      <c r="AB429" s="536"/>
      <c r="AC429" s="536"/>
    </row>
    <row r="430" spans="1:29" outlineLevel="1" x14ac:dyDescent="0.3">
      <c r="A430" s="152"/>
      <c r="B430" s="152"/>
      <c r="C430" s="382" t="s">
        <v>314</v>
      </c>
      <c r="D430" s="239"/>
      <c r="E430" s="383" t="s">
        <v>14</v>
      </c>
      <c r="F430" s="384">
        <v>-0.88500000000000001</v>
      </c>
      <c r="G430" s="385">
        <v>-0.93799999999999994</v>
      </c>
      <c r="H430" s="385">
        <v>-0.94899999999999995</v>
      </c>
      <c r="I430" s="385">
        <v>-0.95299999999999996</v>
      </c>
      <c r="J430" s="386"/>
      <c r="K430" s="374"/>
      <c r="L430" s="378"/>
      <c r="M430" s="398">
        <f t="shared" ref="M430:Q430" si="172">+M253</f>
        <v>-1.5120233600945143</v>
      </c>
      <c r="N430" s="398">
        <f t="shared" si="172"/>
        <v>-1.4798770775716241</v>
      </c>
      <c r="O430" s="398">
        <f t="shared" si="172"/>
        <v>-1.4127143087291569</v>
      </c>
      <c r="P430" s="398">
        <f t="shared" si="172"/>
        <v>-1.4282134092312648</v>
      </c>
      <c r="Q430" s="398">
        <f t="shared" si="172"/>
        <v>-1.6526633461321589</v>
      </c>
      <c r="R430" s="331"/>
      <c r="S430" s="222"/>
      <c r="T430" s="222"/>
      <c r="U430" s="222"/>
      <c r="V430" s="222"/>
      <c r="W430" s="222"/>
      <c r="X430" s="222"/>
      <c r="Y430" s="536"/>
      <c r="Z430" s="536"/>
      <c r="AA430" s="536"/>
      <c r="AB430" s="536"/>
      <c r="AC430" s="536"/>
    </row>
    <row r="431" spans="1:29" outlineLevel="1" x14ac:dyDescent="0.3">
      <c r="A431" s="152"/>
      <c r="B431" s="152"/>
      <c r="C431" s="382" t="s">
        <v>328</v>
      </c>
      <c r="D431" s="239"/>
      <c r="E431" s="383" t="s">
        <v>14</v>
      </c>
      <c r="F431" s="384">
        <v>3.6550000000000007</v>
      </c>
      <c r="G431" s="385">
        <v>-3.367</v>
      </c>
      <c r="H431" s="385">
        <v>-2.0369999999999999</v>
      </c>
      <c r="I431" s="385">
        <v>-1.8690000000000002</v>
      </c>
      <c r="J431" s="386"/>
      <c r="K431" s="374"/>
      <c r="L431" s="378"/>
      <c r="M431" s="398">
        <f t="shared" ref="M431:Q431" si="173">+M254</f>
        <v>0</v>
      </c>
      <c r="N431" s="398">
        <f t="shared" si="173"/>
        <v>0</v>
      </c>
      <c r="O431" s="398">
        <f t="shared" si="173"/>
        <v>0</v>
      </c>
      <c r="P431" s="398">
        <f t="shared" si="173"/>
        <v>0</v>
      </c>
      <c r="Q431" s="398">
        <f t="shared" si="173"/>
        <v>0</v>
      </c>
      <c r="R431" s="331"/>
      <c r="S431" s="222"/>
      <c r="T431" s="222"/>
      <c r="U431" s="222"/>
      <c r="V431" s="222"/>
      <c r="W431" s="222"/>
      <c r="X431" s="222"/>
      <c r="Y431" s="536"/>
      <c r="Z431" s="536"/>
      <c r="AA431" s="536"/>
      <c r="AB431" s="536"/>
      <c r="AC431" s="536"/>
    </row>
    <row r="432" spans="1:29" outlineLevel="1" x14ac:dyDescent="0.3">
      <c r="A432" s="152"/>
      <c r="B432" s="152"/>
      <c r="C432" s="382" t="s">
        <v>106</v>
      </c>
      <c r="D432" s="239"/>
      <c r="E432" s="383" t="s">
        <v>14</v>
      </c>
      <c r="F432" s="384">
        <v>0</v>
      </c>
      <c r="G432" s="385">
        <v>-11.487</v>
      </c>
      <c r="H432" s="385">
        <v>-19.846</v>
      </c>
      <c r="I432" s="385">
        <v>-17.097000000000001</v>
      </c>
      <c r="J432" s="386"/>
      <c r="K432" s="374"/>
      <c r="L432" s="378"/>
      <c r="M432" s="398">
        <f t="shared" ref="M432:Q432" si="174">+M255</f>
        <v>0</v>
      </c>
      <c r="N432" s="398">
        <f t="shared" si="174"/>
        <v>0</v>
      </c>
      <c r="O432" s="398">
        <f t="shared" si="174"/>
        <v>0</v>
      </c>
      <c r="P432" s="398">
        <f t="shared" si="174"/>
        <v>0</v>
      </c>
      <c r="Q432" s="398">
        <f t="shared" si="174"/>
        <v>0</v>
      </c>
      <c r="R432" s="331"/>
      <c r="S432" s="222"/>
      <c r="T432" s="222"/>
      <c r="U432" s="222"/>
      <c r="V432" s="222"/>
      <c r="W432" s="222"/>
      <c r="X432" s="222"/>
      <c r="Y432" s="536"/>
      <c r="Z432" s="536"/>
      <c r="AA432" s="536"/>
      <c r="AB432" s="536"/>
      <c r="AC432" s="536"/>
    </row>
    <row r="433" spans="1:29" outlineLevel="1" x14ac:dyDescent="0.3">
      <c r="A433" s="152"/>
      <c r="B433" s="152"/>
      <c r="C433" s="335" t="s">
        <v>107</v>
      </c>
      <c r="D433" s="336"/>
      <c r="E433" s="359" t="s">
        <v>14</v>
      </c>
      <c r="F433" s="199">
        <v>-77.632999999999996</v>
      </c>
      <c r="G433" s="385">
        <v>-79.781000000000006</v>
      </c>
      <c r="H433" s="385">
        <v>-14.353</v>
      </c>
      <c r="I433" s="385">
        <v>-18.111999999999998</v>
      </c>
      <c r="J433" s="386"/>
      <c r="K433" s="374"/>
      <c r="L433" s="378"/>
      <c r="M433" s="311">
        <f t="shared" ref="M433:Q433" si="175">+M256</f>
        <v>0</v>
      </c>
      <c r="N433" s="311">
        <f t="shared" si="175"/>
        <v>0</v>
      </c>
      <c r="O433" s="311">
        <f t="shared" si="175"/>
        <v>0</v>
      </c>
      <c r="P433" s="311">
        <f t="shared" si="175"/>
        <v>0</v>
      </c>
      <c r="Q433" s="311">
        <f t="shared" si="175"/>
        <v>0</v>
      </c>
      <c r="R433" s="331"/>
      <c r="S433" s="222"/>
      <c r="T433" s="222"/>
      <c r="U433" s="222"/>
      <c r="V433" s="222"/>
      <c r="W433" s="222"/>
      <c r="X433" s="222"/>
      <c r="Y433" s="536"/>
      <c r="Z433" s="536"/>
      <c r="AA433" s="536"/>
      <c r="AB433" s="536"/>
      <c r="AC433" s="536"/>
    </row>
    <row r="434" spans="1:29" outlineLevel="1" x14ac:dyDescent="0.3">
      <c r="A434" s="152"/>
      <c r="B434" s="152"/>
      <c r="C434" s="210" t="s">
        <v>108</v>
      </c>
      <c r="D434" s="239"/>
      <c r="E434" s="383" t="s">
        <v>14</v>
      </c>
      <c r="F434" s="573">
        <f>SUM(F429:F433)</f>
        <v>-52.162999999999997</v>
      </c>
      <c r="G434" s="573">
        <f>SUM(G429:G433)</f>
        <v>-82.973000000000013</v>
      </c>
      <c r="H434" s="573">
        <f>SUM(H429:H433)</f>
        <v>-37.284999999999997</v>
      </c>
      <c r="I434" s="573">
        <f>SUM(I429:I433)</f>
        <v>-66.030999999999992</v>
      </c>
      <c r="J434" s="574"/>
      <c r="K434" s="573"/>
      <c r="L434" s="575"/>
      <c r="M434" s="583">
        <f>SUM(M429:M433)</f>
        <v>-1.5120233600945143</v>
      </c>
      <c r="N434" s="583">
        <f t="shared" ref="N434:Q434" si="176">SUM(N429:N433)</f>
        <v>-1.4798770775716241</v>
      </c>
      <c r="O434" s="583">
        <f t="shared" si="176"/>
        <v>-1.4127143087291569</v>
      </c>
      <c r="P434" s="583">
        <f t="shared" si="176"/>
        <v>-1.4282134092312648</v>
      </c>
      <c r="Q434" s="583">
        <f t="shared" si="176"/>
        <v>-1.6526633461321589</v>
      </c>
      <c r="R434" s="152"/>
      <c r="S434" s="222"/>
      <c r="T434" s="222"/>
      <c r="U434" s="222"/>
      <c r="V434" s="222"/>
      <c r="W434" s="222"/>
      <c r="X434" s="222"/>
      <c r="Y434" s="536"/>
      <c r="Z434" s="536"/>
      <c r="AA434" s="536"/>
      <c r="AB434" s="536"/>
      <c r="AC434" s="536"/>
    </row>
    <row r="435" spans="1:29" outlineLevel="1" x14ac:dyDescent="0.3">
      <c r="A435" s="152"/>
      <c r="B435" s="152"/>
      <c r="C435" s="239"/>
      <c r="D435" s="239"/>
      <c r="E435" s="565"/>
      <c r="F435" s="584"/>
      <c r="G435" s="584"/>
      <c r="H435" s="584"/>
      <c r="I435" s="584"/>
      <c r="J435" s="585"/>
      <c r="K435" s="586"/>
      <c r="L435" s="587"/>
      <c r="M435" s="566"/>
      <c r="N435" s="566"/>
      <c r="O435" s="566"/>
      <c r="P435" s="566"/>
      <c r="Q435" s="566"/>
      <c r="R435" s="152"/>
      <c r="S435" s="222"/>
      <c r="T435" s="222"/>
      <c r="U435" s="222"/>
      <c r="V435" s="222"/>
      <c r="W435" s="222"/>
      <c r="X435" s="222"/>
      <c r="Y435" s="536"/>
      <c r="Z435" s="536"/>
      <c r="AA435" s="536"/>
      <c r="AB435" s="536"/>
      <c r="AC435" s="536"/>
    </row>
    <row r="436" spans="1:29" outlineLevel="1" x14ac:dyDescent="0.3">
      <c r="A436" s="152"/>
      <c r="B436" s="152"/>
      <c r="C436" s="256" t="s">
        <v>109</v>
      </c>
      <c r="D436" s="260"/>
      <c r="E436" s="176" t="s">
        <v>14</v>
      </c>
      <c r="F436" s="199">
        <v>7.0000000000000007E-2</v>
      </c>
      <c r="G436" s="374">
        <v>-0.20399999999999999</v>
      </c>
      <c r="H436" s="374">
        <v>5.8999999999999997E-2</v>
      </c>
      <c r="I436" s="374">
        <v>-0.64100000000000001</v>
      </c>
      <c r="J436" s="386"/>
      <c r="K436" s="374"/>
      <c r="L436" s="378"/>
      <c r="M436" s="398">
        <f>+M258</f>
        <v>-0.17899999999999999</v>
      </c>
      <c r="N436" s="398">
        <f t="shared" ref="N436:Q436" si="177">+N258</f>
        <v>-0.17899999999999999</v>
      </c>
      <c r="O436" s="398">
        <f t="shared" si="177"/>
        <v>-0.17899999999999999</v>
      </c>
      <c r="P436" s="398">
        <f t="shared" si="177"/>
        <v>-0.17899999999999999</v>
      </c>
      <c r="Q436" s="398">
        <f t="shared" si="177"/>
        <v>-0.17899999999999999</v>
      </c>
      <c r="R436" s="152"/>
      <c r="S436" s="222"/>
      <c r="T436" s="222"/>
      <c r="U436" s="222"/>
      <c r="V436" s="222"/>
      <c r="W436" s="222"/>
      <c r="X436" s="222"/>
      <c r="Y436" s="536"/>
      <c r="Z436" s="536"/>
      <c r="AA436" s="536"/>
      <c r="AB436" s="536"/>
      <c r="AC436" s="536"/>
    </row>
    <row r="437" spans="1:29" outlineLevel="1" x14ac:dyDescent="0.3">
      <c r="A437" s="152"/>
      <c r="B437" s="152"/>
      <c r="C437" s="256"/>
      <c r="D437" s="260"/>
      <c r="E437" s="176"/>
      <c r="F437" s="199"/>
      <c r="G437" s="374"/>
      <c r="H437" s="374"/>
      <c r="I437" s="374"/>
      <c r="J437" s="386"/>
      <c r="K437" s="374"/>
      <c r="L437" s="378"/>
      <c r="M437" s="398"/>
      <c r="N437" s="398"/>
      <c r="O437" s="398"/>
      <c r="P437" s="398"/>
      <c r="Q437" s="398"/>
      <c r="R437" s="152"/>
      <c r="S437" s="222"/>
      <c r="T437" s="222"/>
      <c r="U437" s="222"/>
      <c r="V437" s="222"/>
      <c r="W437" s="222"/>
      <c r="X437" s="222"/>
      <c r="Y437" s="536"/>
      <c r="Z437" s="536"/>
      <c r="AA437" s="536"/>
      <c r="AB437" s="536"/>
      <c r="AC437" s="536"/>
    </row>
    <row r="438" spans="1:29" outlineLevel="1" x14ac:dyDescent="0.3">
      <c r="A438" s="152"/>
      <c r="B438" s="152"/>
      <c r="C438" s="588" t="s">
        <v>460</v>
      </c>
      <c r="D438" s="239"/>
      <c r="E438" s="383" t="s">
        <v>14</v>
      </c>
      <c r="F438" s="384"/>
      <c r="G438" s="385"/>
      <c r="H438" s="385"/>
      <c r="I438" s="385"/>
      <c r="J438" s="386"/>
      <c r="K438" s="374"/>
      <c r="L438" s="378"/>
      <c r="M438" s="572"/>
      <c r="N438" s="572"/>
      <c r="O438" s="572"/>
      <c r="P438" s="572"/>
      <c r="Q438" s="572"/>
      <c r="R438" s="152"/>
      <c r="S438" s="222"/>
      <c r="T438" s="222"/>
      <c r="U438" s="222"/>
      <c r="V438" s="222"/>
      <c r="W438" s="222"/>
      <c r="X438" s="222"/>
      <c r="Y438" s="536"/>
      <c r="Z438" s="536"/>
      <c r="AA438" s="536"/>
      <c r="AB438" s="536"/>
      <c r="AC438" s="536"/>
    </row>
    <row r="439" spans="1:29" outlineLevel="1" x14ac:dyDescent="0.3">
      <c r="A439" s="152"/>
      <c r="B439" s="152"/>
      <c r="C439" s="336"/>
      <c r="D439" s="336"/>
      <c r="E439" s="589"/>
      <c r="F439" s="201"/>
      <c r="G439" s="392"/>
      <c r="H439" s="392"/>
      <c r="I439" s="392"/>
      <c r="J439" s="393"/>
      <c r="K439" s="392"/>
      <c r="L439" s="570"/>
      <c r="M439" s="311"/>
      <c r="N439" s="311"/>
      <c r="O439" s="311"/>
      <c r="P439" s="311"/>
      <c r="Q439" s="311"/>
      <c r="R439" s="152"/>
      <c r="S439" s="222"/>
      <c r="T439" s="222"/>
      <c r="U439" s="222"/>
      <c r="V439" s="222"/>
      <c r="W439" s="222"/>
      <c r="X439" s="222"/>
      <c r="Y439" s="536"/>
      <c r="Z439" s="536"/>
      <c r="AA439" s="536"/>
      <c r="AB439" s="536"/>
      <c r="AC439" s="536"/>
    </row>
    <row r="440" spans="1:29" outlineLevel="1" x14ac:dyDescent="0.3">
      <c r="A440" s="152"/>
      <c r="B440" s="152"/>
      <c r="C440" s="306" t="s">
        <v>309</v>
      </c>
      <c r="D440" s="306"/>
      <c r="E440" s="180" t="s">
        <v>14</v>
      </c>
      <c r="F440" s="129"/>
      <c r="G440" s="130"/>
      <c r="H440" s="130"/>
      <c r="I440" s="130"/>
      <c r="J440" s="131"/>
      <c r="K440" s="111"/>
      <c r="L440" s="112"/>
      <c r="M440" s="312"/>
      <c r="N440" s="312"/>
      <c r="O440" s="312"/>
      <c r="P440" s="312"/>
      <c r="Q440" s="312"/>
      <c r="R440" s="152"/>
      <c r="S440" s="222"/>
      <c r="T440" s="222"/>
      <c r="U440" s="222"/>
      <c r="V440" s="222"/>
      <c r="W440" s="222"/>
      <c r="X440" s="222"/>
      <c r="Y440" s="536"/>
      <c r="Z440" s="536"/>
      <c r="AA440" s="536"/>
      <c r="AB440" s="536"/>
      <c r="AC440" s="536"/>
    </row>
    <row r="441" spans="1:29" outlineLevel="1" x14ac:dyDescent="0.3">
      <c r="A441" s="152"/>
      <c r="B441" s="152"/>
      <c r="C441" s="306" t="str">
        <f>+$C$95</f>
        <v>Revolver:</v>
      </c>
      <c r="D441" s="306"/>
      <c r="E441" s="180" t="s">
        <v>14</v>
      </c>
      <c r="F441" s="129"/>
      <c r="G441" s="130"/>
      <c r="H441" s="130"/>
      <c r="I441" s="130"/>
      <c r="J441" s="131"/>
      <c r="K441" s="111"/>
      <c r="L441" s="112"/>
      <c r="M441" s="312"/>
      <c r="N441" s="312"/>
      <c r="O441" s="312"/>
      <c r="P441" s="312"/>
      <c r="Q441" s="312"/>
      <c r="R441" s="152"/>
      <c r="S441" s="222"/>
      <c r="T441" s="222"/>
      <c r="U441" s="222"/>
      <c r="V441" s="222"/>
      <c r="W441" s="222"/>
      <c r="X441" s="222"/>
      <c r="Y441" s="536"/>
      <c r="Z441" s="536"/>
      <c r="AA441" s="536"/>
      <c r="AB441" s="536"/>
      <c r="AC441" s="536"/>
    </row>
    <row r="442" spans="1:29" outlineLevel="1" x14ac:dyDescent="0.3">
      <c r="A442" s="152"/>
      <c r="B442" s="152"/>
      <c r="C442" s="306" t="str">
        <f>+$C$96</f>
        <v>Term Loan - A:</v>
      </c>
      <c r="D442" s="306"/>
      <c r="E442" s="180" t="s">
        <v>14</v>
      </c>
      <c r="F442" s="129"/>
      <c r="G442" s="130"/>
      <c r="H442" s="130"/>
      <c r="I442" s="130"/>
      <c r="J442" s="131"/>
      <c r="K442" s="111"/>
      <c r="L442" s="112"/>
      <c r="M442" s="312"/>
      <c r="N442" s="312"/>
      <c r="O442" s="312"/>
      <c r="P442" s="312"/>
      <c r="Q442" s="312"/>
      <c r="R442" s="152"/>
      <c r="S442" s="222"/>
      <c r="T442" s="222"/>
      <c r="U442" s="222"/>
      <c r="V442" s="222"/>
      <c r="W442" s="222"/>
      <c r="X442" s="222"/>
      <c r="Y442" s="536"/>
      <c r="Z442" s="536"/>
      <c r="AA442" s="536"/>
      <c r="AB442" s="536"/>
      <c r="AC442" s="536"/>
    </row>
    <row r="443" spans="1:29" outlineLevel="1" x14ac:dyDescent="0.3">
      <c r="A443" s="152"/>
      <c r="B443" s="152"/>
      <c r="C443" s="306" t="str">
        <f>+$C$97</f>
        <v>Term Loan - B:</v>
      </c>
      <c r="D443" s="306"/>
      <c r="E443" s="180" t="s">
        <v>14</v>
      </c>
      <c r="F443" s="129"/>
      <c r="G443" s="130"/>
      <c r="H443" s="130"/>
      <c r="I443" s="130"/>
      <c r="J443" s="131"/>
      <c r="K443" s="111"/>
      <c r="L443" s="112"/>
      <c r="M443" s="312"/>
      <c r="N443" s="312"/>
      <c r="O443" s="312"/>
      <c r="P443" s="312"/>
      <c r="Q443" s="312"/>
      <c r="R443" s="152"/>
      <c r="S443" s="222"/>
      <c r="T443" s="222"/>
      <c r="U443" s="222"/>
      <c r="V443" s="222"/>
      <c r="W443" s="222"/>
      <c r="X443" s="222"/>
      <c r="Y443" s="536"/>
      <c r="Z443" s="536"/>
      <c r="AA443" s="536"/>
      <c r="AB443" s="536"/>
      <c r="AC443" s="536"/>
    </row>
    <row r="444" spans="1:29" outlineLevel="1" x14ac:dyDescent="0.3">
      <c r="A444" s="152"/>
      <c r="B444" s="152"/>
      <c r="C444" s="306" t="str">
        <f>+$C$98</f>
        <v>Senior Notes:</v>
      </c>
      <c r="D444" s="306"/>
      <c r="E444" s="180" t="s">
        <v>14</v>
      </c>
      <c r="F444" s="129"/>
      <c r="G444" s="130"/>
      <c r="H444" s="130"/>
      <c r="I444" s="130"/>
      <c r="J444" s="131"/>
      <c r="K444" s="111"/>
      <c r="L444" s="112"/>
      <c r="M444" s="312"/>
      <c r="N444" s="312"/>
      <c r="O444" s="312"/>
      <c r="P444" s="312"/>
      <c r="Q444" s="312"/>
      <c r="R444" s="152"/>
      <c r="S444" s="222"/>
      <c r="T444" s="222"/>
      <c r="U444" s="222"/>
      <c r="V444" s="222"/>
      <c r="W444" s="222"/>
      <c r="X444" s="222"/>
      <c r="Y444" s="536"/>
      <c r="Z444" s="536"/>
      <c r="AA444" s="536"/>
      <c r="AB444" s="536"/>
      <c r="AC444" s="536"/>
    </row>
    <row r="445" spans="1:29" outlineLevel="1" x14ac:dyDescent="0.3">
      <c r="A445" s="152"/>
      <c r="B445" s="152"/>
      <c r="C445" s="306" t="str">
        <f>+$C$99</f>
        <v>Subordinated Note:</v>
      </c>
      <c r="D445" s="306"/>
      <c r="E445" s="180" t="s">
        <v>14</v>
      </c>
      <c r="F445" s="129"/>
      <c r="G445" s="130"/>
      <c r="H445" s="130"/>
      <c r="I445" s="130"/>
      <c r="J445" s="131"/>
      <c r="K445" s="111"/>
      <c r="L445" s="112"/>
      <c r="M445" s="312"/>
      <c r="N445" s="312"/>
      <c r="O445" s="312"/>
      <c r="P445" s="312"/>
      <c r="Q445" s="312"/>
      <c r="R445" s="152"/>
      <c r="S445" s="222"/>
      <c r="T445" s="222"/>
      <c r="U445" s="222"/>
      <c r="V445" s="222"/>
      <c r="W445" s="222"/>
      <c r="X445" s="222"/>
      <c r="Y445" s="536"/>
      <c r="Z445" s="536"/>
      <c r="AA445" s="536"/>
      <c r="AB445" s="536"/>
      <c r="AC445" s="536"/>
    </row>
    <row r="446" spans="1:29" outlineLevel="1" x14ac:dyDescent="0.3">
      <c r="A446" s="152"/>
      <c r="B446" s="152"/>
      <c r="C446" s="307" t="str">
        <f>+$C$100</f>
        <v>Mezzanine:</v>
      </c>
      <c r="D446" s="307"/>
      <c r="E446" s="181" t="s">
        <v>14</v>
      </c>
      <c r="F446" s="132"/>
      <c r="G446" s="114"/>
      <c r="H446" s="114"/>
      <c r="I446" s="114"/>
      <c r="J446" s="133"/>
      <c r="K446" s="114"/>
      <c r="L446" s="115"/>
      <c r="M446" s="312"/>
      <c r="N446" s="295"/>
      <c r="O446" s="295"/>
      <c r="P446" s="295"/>
      <c r="Q446" s="295"/>
      <c r="R446" s="152"/>
      <c r="S446" s="222"/>
      <c r="T446" s="222"/>
      <c r="U446" s="222"/>
      <c r="V446" s="222"/>
      <c r="W446" s="222"/>
      <c r="X446" s="222"/>
      <c r="Y446" s="536"/>
      <c r="Z446" s="536"/>
      <c r="AA446" s="536"/>
      <c r="AB446" s="536"/>
      <c r="AC446" s="536"/>
    </row>
    <row r="447" spans="1:29" outlineLevel="1" x14ac:dyDescent="0.3">
      <c r="A447" s="152"/>
      <c r="B447" s="152"/>
      <c r="C447" s="590" t="s">
        <v>181</v>
      </c>
      <c r="D447" s="591"/>
      <c r="E447" s="414" t="s">
        <v>14</v>
      </c>
      <c r="F447" s="592"/>
      <c r="G447" s="558"/>
      <c r="H447" s="558"/>
      <c r="I447" s="558"/>
      <c r="J447" s="593"/>
      <c r="K447" s="558"/>
      <c r="L447" s="594"/>
      <c r="M447" s="595"/>
      <c r="N447" s="595"/>
      <c r="O447" s="595"/>
      <c r="P447" s="595"/>
      <c r="Q447" s="595"/>
      <c r="R447" s="152"/>
      <c r="S447" s="222"/>
      <c r="T447" s="222"/>
      <c r="U447" s="222"/>
      <c r="V447" s="222"/>
      <c r="W447" s="222"/>
      <c r="X447" s="222"/>
      <c r="Y447" s="536"/>
      <c r="Z447" s="536"/>
      <c r="AA447" s="536"/>
      <c r="AB447" s="536"/>
      <c r="AC447" s="536"/>
    </row>
    <row r="448" spans="1:29" outlineLevel="1" x14ac:dyDescent="0.3">
      <c r="A448" s="152"/>
      <c r="B448" s="152"/>
      <c r="C448" s="239"/>
      <c r="D448" s="239"/>
      <c r="E448" s="565"/>
      <c r="F448" s="239"/>
      <c r="G448" s="239"/>
      <c r="H448" s="239"/>
      <c r="I448" s="239"/>
      <c r="J448" s="596"/>
      <c r="K448" s="260"/>
      <c r="L448" s="597"/>
      <c r="M448" s="566"/>
      <c r="N448" s="566"/>
      <c r="O448" s="566"/>
      <c r="P448" s="566"/>
      <c r="Q448" s="566"/>
      <c r="R448" s="152"/>
      <c r="S448" s="222"/>
      <c r="T448" s="222"/>
      <c r="U448" s="222"/>
      <c r="V448" s="222"/>
      <c r="W448" s="222"/>
      <c r="X448" s="222"/>
      <c r="Y448" s="536"/>
      <c r="Z448" s="536"/>
      <c r="AA448" s="536"/>
      <c r="AB448" s="536"/>
      <c r="AC448" s="536"/>
    </row>
    <row r="449" spans="1:30" outlineLevel="1" x14ac:dyDescent="0.3">
      <c r="A449" s="152"/>
      <c r="B449" s="152"/>
      <c r="C449" s="598" t="s">
        <v>312</v>
      </c>
      <c r="D449" s="239"/>
      <c r="E449" s="383" t="s">
        <v>14</v>
      </c>
      <c r="F449" s="599">
        <f>+F436+F434+F426+F421</f>
        <v>1.9080000000000439</v>
      </c>
      <c r="G449" s="599">
        <f>+G436+G434+G426+G421</f>
        <v>-0.59600000000000364</v>
      </c>
      <c r="H449" s="599">
        <f>+H436+H434+H426+H421</f>
        <v>0.96299999999999386</v>
      </c>
      <c r="I449" s="599">
        <f>+I436+I434+I426+I421</f>
        <v>1.0500000000000398</v>
      </c>
      <c r="J449" s="600"/>
      <c r="K449" s="601"/>
      <c r="L449" s="602"/>
      <c r="M449" s="599">
        <f>+M436+M434+M426+M421</f>
        <v>57.81785319599733</v>
      </c>
      <c r="N449" s="599">
        <f>+N436+N434+N426+N421</f>
        <v>65.755990136898703</v>
      </c>
      <c r="O449" s="599">
        <f t="shared" ref="O449:Q449" si="178">+O436+O434+O426+O421</f>
        <v>64.061943679941265</v>
      </c>
      <c r="P449" s="599">
        <f t="shared" si="178"/>
        <v>59.288900618249144</v>
      </c>
      <c r="Q449" s="599">
        <f t="shared" si="178"/>
        <v>57.78587682129438</v>
      </c>
      <c r="R449" s="152"/>
      <c r="S449" s="222"/>
      <c r="T449" s="222"/>
      <c r="U449" s="222"/>
      <c r="V449" s="222"/>
      <c r="W449" s="222"/>
      <c r="X449" s="222"/>
      <c r="Y449" s="536"/>
      <c r="Z449" s="536"/>
      <c r="AA449" s="536"/>
      <c r="AB449" s="536"/>
      <c r="AC449" s="536"/>
    </row>
    <row r="450" spans="1:30" outlineLevel="1" x14ac:dyDescent="0.3">
      <c r="A450" s="152"/>
      <c r="B450" s="152"/>
      <c r="C450" s="239" t="s">
        <v>110</v>
      </c>
      <c r="D450" s="239"/>
      <c r="E450" s="383" t="s">
        <v>14</v>
      </c>
      <c r="F450" s="384">
        <v>17.361000000000001</v>
      </c>
      <c r="G450" s="387">
        <f>F342</f>
        <v>19.269000000000045</v>
      </c>
      <c r="H450" s="387">
        <f>G342</f>
        <v>18.673000000000041</v>
      </c>
      <c r="I450" s="387">
        <f>H342</f>
        <v>19.636000000000035</v>
      </c>
      <c r="J450" s="603"/>
      <c r="K450" s="571"/>
      <c r="L450" s="604"/>
      <c r="M450" s="387">
        <f>+L342</f>
        <v>20.686000000000075</v>
      </c>
      <c r="N450" s="387">
        <f>+M451</f>
        <v>78.503853195997408</v>
      </c>
      <c r="O450" s="387">
        <f t="shared" ref="O450:Q450" si="179">+N451</f>
        <v>144.25984333289611</v>
      </c>
      <c r="P450" s="387">
        <f t="shared" si="179"/>
        <v>208.32178701283738</v>
      </c>
      <c r="Q450" s="387">
        <f t="shared" si="179"/>
        <v>267.61068763108653</v>
      </c>
      <c r="R450" s="152"/>
      <c r="S450" s="222"/>
      <c r="T450" s="222"/>
      <c r="U450" s="222"/>
      <c r="V450" s="222"/>
      <c r="W450" s="222"/>
      <c r="X450" s="222"/>
      <c r="Y450" s="536"/>
      <c r="Z450" s="536"/>
      <c r="AA450" s="536"/>
      <c r="AB450" s="536"/>
      <c r="AC450" s="536"/>
    </row>
    <row r="451" spans="1:30" outlineLevel="1" x14ac:dyDescent="0.3">
      <c r="A451" s="152"/>
      <c r="B451" s="152"/>
      <c r="C451" s="559" t="s">
        <v>111</v>
      </c>
      <c r="D451" s="239"/>
      <c r="E451" s="383" t="s">
        <v>14</v>
      </c>
      <c r="F451" s="572">
        <f>+F450+F449</f>
        <v>19.269000000000045</v>
      </c>
      <c r="G451" s="572">
        <f t="shared" ref="G451:I451" si="180">+G450+G449</f>
        <v>18.673000000000041</v>
      </c>
      <c r="H451" s="572">
        <f t="shared" si="180"/>
        <v>19.636000000000035</v>
      </c>
      <c r="I451" s="572">
        <f t="shared" si="180"/>
        <v>20.686000000000075</v>
      </c>
      <c r="J451" s="580"/>
      <c r="K451" s="572"/>
      <c r="L451" s="581"/>
      <c r="M451" s="572">
        <f>+M449+M450</f>
        <v>78.503853195997408</v>
      </c>
      <c r="N451" s="572">
        <f>SUM(N449:N450)</f>
        <v>144.25984333289611</v>
      </c>
      <c r="O451" s="572">
        <f t="shared" ref="O451:Q451" si="181">SUM(O449:O450)</f>
        <v>208.32178701283738</v>
      </c>
      <c r="P451" s="572">
        <f t="shared" si="181"/>
        <v>267.61068763108653</v>
      </c>
      <c r="Q451" s="572">
        <f t="shared" si="181"/>
        <v>325.39656445238091</v>
      </c>
      <c r="R451" s="152"/>
      <c r="S451" s="152"/>
      <c r="T451" s="152"/>
      <c r="U451" s="152"/>
      <c r="V451" s="152"/>
      <c r="W451" s="152"/>
      <c r="X451" s="152"/>
    </row>
    <row r="452" spans="1:30" x14ac:dyDescent="0.3">
      <c r="A452" s="152"/>
      <c r="B452" s="152"/>
      <c r="C452" s="152"/>
      <c r="D452" s="152"/>
      <c r="G452" s="2"/>
      <c r="H452" s="185"/>
      <c r="I452" s="185"/>
      <c r="J452" s="185"/>
      <c r="K452" s="185"/>
      <c r="L452" s="185"/>
      <c r="M452" s="185"/>
      <c r="N452" s="185"/>
      <c r="O452" s="185"/>
      <c r="P452" s="185"/>
      <c r="Q452" s="185"/>
      <c r="R452" s="152"/>
      <c r="S452" s="152"/>
      <c r="T452" s="152"/>
      <c r="U452" s="152"/>
      <c r="V452" s="152"/>
      <c r="W452" s="152"/>
      <c r="X452" s="152"/>
    </row>
    <row r="453" spans="1:30" x14ac:dyDescent="0.3">
      <c r="A453" s="152"/>
      <c r="B453" s="171"/>
      <c r="C453" s="172"/>
      <c r="D453" s="172"/>
      <c r="E453" s="169"/>
      <c r="F453" s="157" t="str">
        <f>$F$131</f>
        <v>Historical</v>
      </c>
      <c r="G453" s="158"/>
      <c r="H453" s="159"/>
      <c r="I453" s="159"/>
      <c r="J453" s="165" t="str">
        <f>$J$131</f>
        <v>Transaction Adjustments</v>
      </c>
      <c r="K453" s="166"/>
      <c r="L453" s="167"/>
      <c r="M453" s="157" t="str">
        <f>$M$131</f>
        <v>Projected</v>
      </c>
      <c r="N453" s="158"/>
      <c r="O453" s="158"/>
      <c r="P453" s="158"/>
      <c r="Q453" s="159"/>
      <c r="R453" s="152"/>
      <c r="S453" s="152"/>
      <c r="T453" s="152"/>
      <c r="U453" s="152"/>
      <c r="V453" s="152"/>
      <c r="W453" s="152"/>
      <c r="X453" s="152"/>
    </row>
    <row r="454" spans="1:30" x14ac:dyDescent="0.3">
      <c r="A454" s="152"/>
      <c r="B454" s="173" t="s">
        <v>158</v>
      </c>
      <c r="C454" s="173"/>
      <c r="D454" s="173"/>
      <c r="E454" s="170" t="str">
        <f>$E$132</f>
        <v>Units</v>
      </c>
      <c r="F454" s="160">
        <f>$F$132</f>
        <v>40543</v>
      </c>
      <c r="G454" s="161">
        <f>$G$132</f>
        <v>40908</v>
      </c>
      <c r="H454" s="161">
        <f>$H$132</f>
        <v>41274</v>
      </c>
      <c r="I454" s="162">
        <f>$I$132</f>
        <v>41639</v>
      </c>
      <c r="J454" s="164" t="str">
        <f>$J$132</f>
        <v xml:space="preserve">Debit </v>
      </c>
      <c r="K454" s="164" t="str">
        <f>$K$132</f>
        <v>Credit</v>
      </c>
      <c r="L454" s="168">
        <f>$L$132</f>
        <v>41639</v>
      </c>
      <c r="M454" s="160">
        <f>$M$132</f>
        <v>42004</v>
      </c>
      <c r="N454" s="161">
        <f>$N$132</f>
        <v>42369</v>
      </c>
      <c r="O454" s="161">
        <f>$O$132</f>
        <v>42735</v>
      </c>
      <c r="P454" s="160">
        <f>$P$132</f>
        <v>43100</v>
      </c>
      <c r="Q454" s="163">
        <f>$Q$132</f>
        <v>43465</v>
      </c>
      <c r="R454" s="152"/>
      <c r="S454" s="205" t="s">
        <v>437</v>
      </c>
      <c r="T454" s="534"/>
      <c r="U454" s="534"/>
      <c r="V454" s="534"/>
      <c r="W454" s="534"/>
      <c r="X454" s="534"/>
      <c r="Y454" s="534"/>
      <c r="Z454" s="534"/>
      <c r="AA454" s="534"/>
      <c r="AB454" s="534"/>
      <c r="AC454" s="534"/>
      <c r="AD454" s="152"/>
    </row>
    <row r="455" spans="1:30" outlineLevel="1" x14ac:dyDescent="0.3">
      <c r="A455" s="152"/>
      <c r="B455" s="152"/>
      <c r="C455" s="152"/>
      <c r="D455" s="152"/>
      <c r="G455" s="2"/>
      <c r="H455" s="185"/>
      <c r="I455" s="185"/>
      <c r="J455" s="276"/>
      <c r="K455" s="242"/>
      <c r="L455" s="277"/>
      <c r="M455" s="185"/>
      <c r="N455" s="185"/>
      <c r="O455" s="185"/>
      <c r="P455" s="185"/>
      <c r="Q455" s="185"/>
      <c r="R455" s="152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222"/>
    </row>
    <row r="456" spans="1:30" outlineLevel="1" x14ac:dyDescent="0.3">
      <c r="A456" s="152"/>
      <c r="B456" s="152"/>
      <c r="C456" s="152" t="s">
        <v>188</v>
      </c>
      <c r="D456" s="152"/>
      <c r="E456" s="174" t="s">
        <v>123</v>
      </c>
      <c r="G456" s="2"/>
      <c r="H456" s="185"/>
      <c r="I456" s="185"/>
      <c r="J456" s="264"/>
      <c r="K456" s="223"/>
      <c r="L456" s="265"/>
      <c r="M456" s="421">
        <f>YEAR(M454)-YEAR($L454)</f>
        <v>1</v>
      </c>
      <c r="N456" s="421">
        <f>YEAR(N454)-YEAR($L454)</f>
        <v>2</v>
      </c>
      <c r="O456" s="421">
        <f>YEAR(O454)-YEAR($L454)</f>
        <v>3</v>
      </c>
      <c r="P456" s="421">
        <f>YEAR(P454)-YEAR($L454)</f>
        <v>4</v>
      </c>
      <c r="Q456" s="421">
        <f>YEAR(Q454)-YEAR($L454)</f>
        <v>5</v>
      </c>
      <c r="R456" s="152"/>
      <c r="S456" s="58"/>
      <c r="T456" s="58" t="s">
        <v>455</v>
      </c>
      <c r="U456" s="58"/>
      <c r="V456" s="58"/>
      <c r="W456" s="58"/>
      <c r="X456" s="58"/>
      <c r="Y456" s="58"/>
      <c r="Z456" s="58"/>
      <c r="AA456" s="58"/>
      <c r="AB456" s="58"/>
      <c r="AC456" s="58"/>
      <c r="AD456" s="222"/>
    </row>
    <row r="457" spans="1:30" outlineLevel="1" x14ac:dyDescent="0.3">
      <c r="A457" s="152"/>
      <c r="B457" s="152"/>
      <c r="C457" s="152"/>
      <c r="D457" s="152"/>
      <c r="G457" s="2"/>
      <c r="H457" s="185"/>
      <c r="I457" s="185"/>
      <c r="J457" s="264"/>
      <c r="K457" s="223"/>
      <c r="L457" s="265"/>
      <c r="M457" s="185"/>
      <c r="N457" s="185"/>
      <c r="O457" s="185"/>
      <c r="P457" s="185"/>
      <c r="Q457" s="185"/>
      <c r="R457" s="152"/>
      <c r="S457" s="58"/>
      <c r="T457" s="58" t="s">
        <v>456</v>
      </c>
      <c r="U457" s="58"/>
      <c r="V457" s="58"/>
      <c r="W457" s="58"/>
      <c r="X457" s="58"/>
      <c r="Y457" s="58"/>
      <c r="Z457" s="58"/>
      <c r="AA457" s="58"/>
      <c r="AB457" s="58"/>
      <c r="AC457" s="58"/>
      <c r="AD457" s="222"/>
    </row>
    <row r="458" spans="1:30" outlineLevel="1" x14ac:dyDescent="0.3">
      <c r="A458" s="152"/>
      <c r="B458" s="152"/>
      <c r="C458" s="152" t="s">
        <v>159</v>
      </c>
      <c r="D458" s="152"/>
      <c r="E458" s="174" t="s">
        <v>28</v>
      </c>
      <c r="F458" s="423">
        <v>3.43225E-3</v>
      </c>
      <c r="G458" s="423">
        <v>3.3703333333333298E-3</v>
      </c>
      <c r="H458" s="423">
        <v>4.3031666666666704E-3</v>
      </c>
      <c r="I458" s="423">
        <v>2.6739166666666699E-3</v>
      </c>
      <c r="J458" s="264"/>
      <c r="K458" s="223"/>
      <c r="L458" s="265"/>
      <c r="M458" s="413">
        <v>3.0000000000000001E-3</v>
      </c>
      <c r="N458" s="413">
        <v>3.0000000000000001E-3</v>
      </c>
      <c r="O458" s="413">
        <v>5.0000000000000001E-3</v>
      </c>
      <c r="P458" s="413">
        <v>0.01</v>
      </c>
      <c r="Q458" s="413">
        <v>0.02</v>
      </c>
      <c r="R458" s="331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222"/>
    </row>
    <row r="459" spans="1:30" outlineLevel="1" x14ac:dyDescent="0.3">
      <c r="A459" s="152"/>
      <c r="B459" s="152"/>
      <c r="C459" s="221"/>
      <c r="D459" s="152"/>
      <c r="E459" s="175"/>
      <c r="F459" s="40"/>
      <c r="G459" s="40"/>
      <c r="H459" s="40"/>
      <c r="I459" s="40"/>
      <c r="J459" s="69"/>
      <c r="K459" s="40"/>
      <c r="L459" s="78"/>
      <c r="M459" s="413"/>
      <c r="N459" s="413"/>
      <c r="O459" s="413"/>
      <c r="P459" s="413"/>
      <c r="Q459" s="413"/>
      <c r="R459" s="331"/>
      <c r="S459" s="631" t="s">
        <v>457</v>
      </c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222"/>
    </row>
    <row r="460" spans="1:30" outlineLevel="1" x14ac:dyDescent="0.3">
      <c r="A460" s="152"/>
      <c r="B460" s="152"/>
      <c r="C460" s="221" t="s">
        <v>331</v>
      </c>
      <c r="D460" s="152"/>
      <c r="E460" s="174" t="s">
        <v>14</v>
      </c>
      <c r="F460" s="40"/>
      <c r="G460" s="40"/>
      <c r="H460" s="40"/>
      <c r="I460" s="40"/>
      <c r="J460" s="69"/>
      <c r="K460" s="40"/>
      <c r="L460" s="78"/>
      <c r="M460" s="619">
        <v>0</v>
      </c>
      <c r="N460" s="425">
        <v>0</v>
      </c>
      <c r="O460" s="424">
        <f>+I368</f>
        <v>361.5</v>
      </c>
      <c r="P460" s="425">
        <v>0</v>
      </c>
      <c r="Q460" s="425">
        <v>0</v>
      </c>
      <c r="R460" s="331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222"/>
    </row>
    <row r="461" spans="1:30" outlineLevel="1" x14ac:dyDescent="0.3">
      <c r="A461" s="152"/>
      <c r="B461" s="152"/>
      <c r="C461" s="221" t="s">
        <v>333</v>
      </c>
      <c r="D461" s="152"/>
      <c r="E461" s="174" t="s">
        <v>14</v>
      </c>
      <c r="F461" s="40"/>
      <c r="G461" s="40"/>
      <c r="H461" s="40"/>
      <c r="I461" s="40"/>
      <c r="J461" s="69"/>
      <c r="K461" s="40"/>
      <c r="L461" s="78"/>
      <c r="M461" s="619">
        <v>5.9969999999999999</v>
      </c>
      <c r="N461" s="424">
        <f>11.039/2</f>
        <v>5.5194999999999999</v>
      </c>
      <c r="O461" s="424">
        <f>11.039/2</f>
        <v>5.5194999999999999</v>
      </c>
      <c r="P461" s="425">
        <v>0</v>
      </c>
      <c r="Q461" s="425">
        <v>0</v>
      </c>
      <c r="R461" s="331"/>
      <c r="S461" s="222"/>
      <c r="T461" s="222" t="s">
        <v>458</v>
      </c>
      <c r="U461" s="222"/>
      <c r="V461" s="222"/>
      <c r="W461" s="222"/>
      <c r="X461" s="222"/>
      <c r="Y461" s="222"/>
      <c r="Z461" s="222"/>
      <c r="AA461" s="222"/>
      <c r="AB461" s="222"/>
      <c r="AC461" s="222"/>
      <c r="AD461" s="222"/>
    </row>
    <row r="462" spans="1:30" outlineLevel="1" x14ac:dyDescent="0.3">
      <c r="A462" s="152"/>
      <c r="B462" s="152"/>
      <c r="C462" s="221"/>
      <c r="D462" s="152"/>
      <c r="E462" s="175"/>
      <c r="F462" s="40"/>
      <c r="G462" s="40"/>
      <c r="H462" s="40"/>
      <c r="I462" s="40"/>
      <c r="J462" s="69"/>
      <c r="K462" s="40"/>
      <c r="L462" s="78"/>
      <c r="M462" s="413"/>
      <c r="N462" s="413"/>
      <c r="O462" s="413"/>
      <c r="P462" s="413"/>
      <c r="Q462" s="413"/>
      <c r="R462" s="331"/>
      <c r="S462" s="58"/>
      <c r="T462" s="58" t="s">
        <v>459</v>
      </c>
      <c r="U462" s="58"/>
      <c r="V462" s="58"/>
      <c r="W462" s="58"/>
      <c r="X462" s="58"/>
      <c r="Y462" s="58"/>
      <c r="Z462" s="58"/>
      <c r="AA462" s="58"/>
      <c r="AB462" s="58"/>
      <c r="AC462" s="58"/>
      <c r="AD462" s="222"/>
    </row>
    <row r="463" spans="1:30" outlineLevel="1" x14ac:dyDescent="0.3">
      <c r="A463" s="152"/>
      <c r="B463" s="152"/>
      <c r="C463" s="152"/>
      <c r="D463" s="152"/>
      <c r="E463" s="152"/>
      <c r="F463" s="191" t="s">
        <v>127</v>
      </c>
      <c r="G463" s="191" t="s">
        <v>161</v>
      </c>
      <c r="H463" s="191" t="s">
        <v>127</v>
      </c>
      <c r="I463" s="185"/>
      <c r="J463" s="264"/>
      <c r="K463" s="223"/>
      <c r="L463" s="265"/>
      <c r="M463" s="185"/>
      <c r="N463" s="185"/>
      <c r="O463" s="185"/>
      <c r="P463" s="185"/>
      <c r="Q463" s="185"/>
      <c r="R463" s="152"/>
      <c r="S463" s="58"/>
      <c r="T463" s="222"/>
      <c r="U463" s="58"/>
      <c r="V463" s="58"/>
      <c r="W463" s="58"/>
      <c r="X463" s="58"/>
      <c r="Y463" s="58"/>
      <c r="Z463" s="58"/>
      <c r="AA463" s="58"/>
      <c r="AB463" s="58"/>
      <c r="AC463" s="58"/>
      <c r="AD463" s="222"/>
    </row>
    <row r="464" spans="1:30" outlineLevel="1" x14ac:dyDescent="0.3">
      <c r="A464" s="152"/>
      <c r="B464" s="152"/>
      <c r="C464" s="7" t="s">
        <v>160</v>
      </c>
      <c r="D464" s="152"/>
      <c r="E464" s="152"/>
      <c r="F464" s="192" t="s">
        <v>343</v>
      </c>
      <c r="G464" s="192" t="s">
        <v>329</v>
      </c>
      <c r="H464" s="192" t="s">
        <v>128</v>
      </c>
      <c r="I464" s="185"/>
      <c r="J464" s="264"/>
      <c r="K464" s="223"/>
      <c r="L464" s="265"/>
      <c r="M464" s="185"/>
      <c r="N464" s="185"/>
      <c r="O464" s="185"/>
      <c r="P464" s="185"/>
      <c r="Q464" s="185"/>
      <c r="R464" s="152"/>
      <c r="S464" s="631" t="s">
        <v>461</v>
      </c>
      <c r="T464" s="150"/>
      <c r="U464" s="150"/>
      <c r="V464" s="150"/>
      <c r="W464" s="150"/>
      <c r="X464" s="150"/>
      <c r="Y464" s="150"/>
      <c r="Z464" s="150"/>
      <c r="AA464" s="150"/>
      <c r="AB464" s="150"/>
      <c r="AC464" s="150"/>
      <c r="AD464" s="222"/>
    </row>
    <row r="465" spans="1:30" outlineLevel="1" x14ac:dyDescent="0.3">
      <c r="A465" s="152"/>
      <c r="B465" s="152"/>
      <c r="C465" s="224" t="str">
        <f>+$C$95</f>
        <v>Revolver:</v>
      </c>
      <c r="D465" s="152"/>
      <c r="E465" s="174" t="s">
        <v>28</v>
      </c>
      <c r="F465" s="315">
        <f>+H82/LIBOR_Units</f>
        <v>3.2500000000000001E-2</v>
      </c>
      <c r="G465" s="2"/>
      <c r="H465" s="315">
        <f>+I82</f>
        <v>0.01</v>
      </c>
      <c r="I465" s="185"/>
      <c r="J465" s="264"/>
      <c r="K465" s="223"/>
      <c r="L465" s="265"/>
      <c r="M465" s="435"/>
      <c r="N465" s="435"/>
      <c r="O465" s="435"/>
      <c r="P465" s="435"/>
      <c r="Q465" s="435"/>
      <c r="R465" s="152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222"/>
    </row>
    <row r="466" spans="1:30" outlineLevel="1" x14ac:dyDescent="0.3">
      <c r="A466" s="152"/>
      <c r="B466" s="152"/>
      <c r="C466" s="224" t="str">
        <f>+$C$96</f>
        <v>Term Loan - A:</v>
      </c>
      <c r="D466" s="152"/>
      <c r="E466" s="174" t="s">
        <v>28</v>
      </c>
      <c r="F466" s="315">
        <f>+H83/LIBOR_Units</f>
        <v>3.5000000000000003E-2</v>
      </c>
      <c r="G466" s="2"/>
      <c r="H466" s="315">
        <f>+I83</f>
        <v>0</v>
      </c>
      <c r="I466" s="185"/>
      <c r="J466" s="264"/>
      <c r="K466" s="223"/>
      <c r="L466" s="265"/>
      <c r="M466" s="435"/>
      <c r="N466" s="435"/>
      <c r="O466" s="435"/>
      <c r="P466" s="435"/>
      <c r="Q466" s="435"/>
      <c r="R466" s="152"/>
      <c r="S466" s="222"/>
      <c r="T466" s="58" t="s">
        <v>462</v>
      </c>
      <c r="U466" s="58"/>
      <c r="V466" s="58"/>
      <c r="W466" s="58"/>
      <c r="X466" s="58"/>
      <c r="Y466" s="58"/>
      <c r="Z466" s="58"/>
      <c r="AA466" s="58"/>
      <c r="AB466" s="58"/>
      <c r="AC466" s="58"/>
      <c r="AD466" s="222"/>
    </row>
    <row r="467" spans="1:30" outlineLevel="1" x14ac:dyDescent="0.3">
      <c r="A467" s="152"/>
      <c r="B467" s="152"/>
      <c r="C467" s="224" t="str">
        <f>+$C$97</f>
        <v>Term Loan - B:</v>
      </c>
      <c r="D467" s="152"/>
      <c r="E467" s="174" t="s">
        <v>28</v>
      </c>
      <c r="F467" s="315">
        <f>+H84/LIBOR_Units</f>
        <v>4.4999999999999998E-2</v>
      </c>
      <c r="G467" s="2"/>
      <c r="H467" s="315">
        <f>+I84</f>
        <v>0</v>
      </c>
      <c r="I467" s="185"/>
      <c r="J467" s="264"/>
      <c r="K467" s="223"/>
      <c r="L467" s="265"/>
      <c r="M467" s="435"/>
      <c r="N467" s="435"/>
      <c r="O467" s="435"/>
      <c r="P467" s="435"/>
      <c r="Q467" s="435"/>
      <c r="R467" s="152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222"/>
    </row>
    <row r="468" spans="1:30" outlineLevel="1" x14ac:dyDescent="0.3">
      <c r="A468" s="152"/>
      <c r="B468" s="152"/>
      <c r="C468" s="224" t="str">
        <f>+$C$98</f>
        <v>Senior Notes:</v>
      </c>
      <c r="D468" s="152"/>
      <c r="E468" s="174" t="s">
        <v>28</v>
      </c>
      <c r="F468" s="315">
        <f>+H85/LIBOR_Units</f>
        <v>6.7500000000000004E-2</v>
      </c>
      <c r="G468" s="2"/>
      <c r="H468" s="315">
        <f>+I85</f>
        <v>0.01</v>
      </c>
      <c r="I468" s="185"/>
      <c r="J468" s="264"/>
      <c r="K468" s="223"/>
      <c r="L468" s="265"/>
      <c r="M468" s="435"/>
      <c r="N468" s="435"/>
      <c r="O468" s="435"/>
      <c r="P468" s="435"/>
      <c r="Q468" s="435"/>
      <c r="R468" s="152"/>
      <c r="S468" s="58"/>
      <c r="T468" s="58" t="s">
        <v>463</v>
      </c>
      <c r="U468" s="58"/>
      <c r="V468" s="58"/>
      <c r="W468" s="58"/>
      <c r="X468" s="58"/>
      <c r="Y468" s="58"/>
      <c r="Z468" s="58"/>
      <c r="AA468" s="58"/>
      <c r="AB468" s="58"/>
      <c r="AC468" s="58"/>
      <c r="AD468" s="222"/>
    </row>
    <row r="469" spans="1:30" outlineLevel="1" x14ac:dyDescent="0.3">
      <c r="A469" s="152"/>
      <c r="B469" s="152"/>
      <c r="C469" s="224" t="str">
        <f>+$C$99</f>
        <v>Subordinated Note:</v>
      </c>
      <c r="D469" s="152"/>
      <c r="E469" s="174" t="s">
        <v>28</v>
      </c>
      <c r="G469" s="316">
        <f>+H86</f>
        <v>0.1</v>
      </c>
      <c r="H469" s="315"/>
      <c r="I469" s="185"/>
      <c r="J469" s="264"/>
      <c r="K469" s="223"/>
      <c r="L469" s="265"/>
      <c r="M469" s="435"/>
      <c r="N469" s="435"/>
      <c r="O469" s="435"/>
      <c r="P469" s="435"/>
      <c r="Q469" s="435"/>
      <c r="R469" s="152"/>
      <c r="S469" s="58"/>
      <c r="T469" s="58" t="s">
        <v>464</v>
      </c>
      <c r="U469" s="58"/>
      <c r="V469" s="58"/>
      <c r="W469" s="58"/>
      <c r="X469" s="58"/>
      <c r="Y469" s="58"/>
      <c r="Z469" s="58"/>
      <c r="AA469" s="58"/>
      <c r="AB469" s="58"/>
      <c r="AC469" s="58"/>
      <c r="AD469" s="222"/>
    </row>
    <row r="470" spans="1:30" outlineLevel="1" x14ac:dyDescent="0.3">
      <c r="A470" s="152"/>
      <c r="B470" s="152"/>
      <c r="C470" s="224" t="str">
        <f>+$C$100</f>
        <v>Mezzanine:</v>
      </c>
      <c r="D470" s="152"/>
      <c r="E470" s="174" t="s">
        <v>28</v>
      </c>
      <c r="G470" s="316">
        <f>+H87</f>
        <v>0.12</v>
      </c>
      <c r="H470" s="315"/>
      <c r="I470" s="185"/>
      <c r="J470" s="264"/>
      <c r="K470" s="223"/>
      <c r="L470" s="265"/>
      <c r="M470" s="435"/>
      <c r="N470" s="435"/>
      <c r="O470" s="435"/>
      <c r="P470" s="435"/>
      <c r="Q470" s="435"/>
      <c r="R470" s="152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222"/>
    </row>
    <row r="471" spans="1:30" outlineLevel="1" x14ac:dyDescent="0.3">
      <c r="A471" s="152"/>
      <c r="B471" s="152"/>
      <c r="C471" s="152"/>
      <c r="D471" s="152"/>
      <c r="G471" s="2"/>
      <c r="H471" s="185"/>
      <c r="I471" s="185"/>
      <c r="J471" s="264"/>
      <c r="K471" s="223"/>
      <c r="L471" s="265"/>
      <c r="M471" s="185"/>
      <c r="N471" s="185"/>
      <c r="O471" s="185"/>
      <c r="P471" s="185"/>
      <c r="Q471" s="185"/>
      <c r="R471" s="152"/>
      <c r="S471" s="58"/>
      <c r="T471" s="58" t="s">
        <v>465</v>
      </c>
      <c r="U471" s="58"/>
      <c r="V471" s="58"/>
      <c r="W471" s="58"/>
      <c r="X471" s="58"/>
      <c r="Y471" s="58"/>
      <c r="Z471" s="58"/>
      <c r="AA471" s="58"/>
      <c r="AB471" s="58"/>
      <c r="AC471" s="58"/>
      <c r="AD471" s="222"/>
    </row>
    <row r="472" spans="1:30" outlineLevel="1" x14ac:dyDescent="0.3">
      <c r="A472" s="152"/>
      <c r="B472" s="152"/>
      <c r="C472" s="59" t="s">
        <v>178</v>
      </c>
      <c r="D472" s="152"/>
      <c r="G472" s="2"/>
      <c r="H472" s="185"/>
      <c r="I472" s="185"/>
      <c r="J472" s="264"/>
      <c r="K472" s="223"/>
      <c r="L472" s="265"/>
      <c r="M472" s="185"/>
      <c r="N472" s="185"/>
      <c r="O472" s="185"/>
      <c r="P472" s="185"/>
      <c r="Q472" s="185"/>
      <c r="R472" s="152"/>
      <c r="S472" s="58"/>
      <c r="T472" s="222" t="s">
        <v>466</v>
      </c>
      <c r="U472" s="58"/>
      <c r="V472" s="58"/>
      <c r="W472" s="58"/>
      <c r="X472" s="58"/>
      <c r="Y472" s="58"/>
      <c r="Z472" s="58"/>
      <c r="AA472" s="58"/>
      <c r="AB472" s="58"/>
      <c r="AC472" s="58"/>
      <c r="AD472" s="222"/>
    </row>
    <row r="473" spans="1:30" outlineLevel="1" x14ac:dyDescent="0.3">
      <c r="A473" s="152"/>
      <c r="B473" s="152"/>
      <c r="C473" s="60" t="str">
        <f>+$C$440</f>
        <v>Existing Debt:</v>
      </c>
      <c r="D473" s="152"/>
      <c r="E473" s="174" t="s">
        <v>14</v>
      </c>
      <c r="G473" s="2"/>
      <c r="H473" s="185"/>
      <c r="I473" s="185"/>
      <c r="J473" s="264"/>
      <c r="K473" s="223"/>
      <c r="L473" s="265"/>
      <c r="M473" s="373"/>
      <c r="N473" s="373"/>
      <c r="O473" s="373"/>
      <c r="P473" s="373"/>
      <c r="Q473" s="373"/>
      <c r="R473" s="152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222"/>
    </row>
    <row r="474" spans="1:30" outlineLevel="1" x14ac:dyDescent="0.3">
      <c r="A474" s="152"/>
      <c r="B474" s="152"/>
      <c r="C474" s="60" t="s">
        <v>342</v>
      </c>
      <c r="D474" s="152"/>
      <c r="E474" s="174" t="s">
        <v>14</v>
      </c>
      <c r="G474" s="2"/>
      <c r="H474" s="185"/>
      <c r="I474" s="185"/>
      <c r="J474" s="264"/>
      <c r="K474" s="223"/>
      <c r="L474" s="265"/>
      <c r="M474" s="203"/>
      <c r="N474" s="203"/>
      <c r="O474" s="203"/>
      <c r="P474" s="203"/>
      <c r="Q474" s="203"/>
      <c r="R474" s="152"/>
      <c r="S474" s="134" t="s">
        <v>467</v>
      </c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222"/>
    </row>
    <row r="475" spans="1:30" outlineLevel="1" x14ac:dyDescent="0.3">
      <c r="A475" s="152"/>
      <c r="B475" s="152"/>
      <c r="C475" s="60" t="s">
        <v>168</v>
      </c>
      <c r="D475" s="152"/>
      <c r="E475" s="174" t="s">
        <v>14</v>
      </c>
      <c r="G475" s="2"/>
      <c r="H475" s="185"/>
      <c r="I475" s="185"/>
      <c r="J475" s="264"/>
      <c r="K475" s="223"/>
      <c r="L475" s="265"/>
      <c r="M475" s="203"/>
      <c r="N475" s="203"/>
      <c r="O475" s="203"/>
      <c r="P475" s="203"/>
      <c r="Q475" s="203"/>
      <c r="R475" s="152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222"/>
    </row>
    <row r="476" spans="1:30" outlineLevel="1" x14ac:dyDescent="0.3">
      <c r="A476" s="152"/>
      <c r="B476" s="152"/>
      <c r="C476" s="224" t="str">
        <f>+$C$95</f>
        <v>Revolver:</v>
      </c>
      <c r="D476" s="152"/>
      <c r="E476" s="174" t="s">
        <v>14</v>
      </c>
      <c r="G476" s="2"/>
      <c r="H476" s="185"/>
      <c r="I476" s="185"/>
      <c r="J476" s="264"/>
      <c r="K476" s="223"/>
      <c r="L476" s="265"/>
      <c r="M476" s="203"/>
      <c r="N476" s="203"/>
      <c r="O476" s="203"/>
      <c r="P476" s="203"/>
      <c r="Q476" s="203"/>
      <c r="R476" s="152"/>
      <c r="S476" s="58"/>
      <c r="T476" s="222" t="s">
        <v>468</v>
      </c>
      <c r="U476" s="58"/>
      <c r="V476" s="58"/>
      <c r="W476" s="58"/>
      <c r="X476" s="58"/>
      <c r="Y476" s="58"/>
      <c r="Z476" s="58"/>
      <c r="AA476" s="58"/>
      <c r="AB476" s="58"/>
      <c r="AC476" s="58"/>
      <c r="AD476" s="222"/>
    </row>
    <row r="477" spans="1:30" outlineLevel="1" x14ac:dyDescent="0.3">
      <c r="A477" s="152"/>
      <c r="B477" s="152"/>
      <c r="C477" s="224" t="str">
        <f>+$C$96</f>
        <v>Term Loan - A:</v>
      </c>
      <c r="D477" s="152"/>
      <c r="E477" s="174" t="s">
        <v>14</v>
      </c>
      <c r="G477" s="2"/>
      <c r="H477" s="185"/>
      <c r="I477" s="185"/>
      <c r="J477" s="264"/>
      <c r="K477" s="223"/>
      <c r="L477" s="265"/>
      <c r="M477" s="203"/>
      <c r="N477" s="203"/>
      <c r="O477" s="203"/>
      <c r="P477" s="203"/>
      <c r="Q477" s="203"/>
      <c r="R477" s="152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222"/>
    </row>
    <row r="478" spans="1:30" outlineLevel="1" x14ac:dyDescent="0.3">
      <c r="A478" s="152"/>
      <c r="B478" s="152"/>
      <c r="C478" s="224" t="str">
        <f>+$C$97</f>
        <v>Term Loan - B:</v>
      </c>
      <c r="D478" s="152"/>
      <c r="E478" s="174" t="s">
        <v>14</v>
      </c>
      <c r="G478" s="2"/>
      <c r="H478" s="185"/>
      <c r="I478" s="185"/>
      <c r="J478" s="264"/>
      <c r="K478" s="223"/>
      <c r="L478" s="265"/>
      <c r="M478" s="203"/>
      <c r="N478" s="203"/>
      <c r="O478" s="203"/>
      <c r="P478" s="203"/>
      <c r="Q478" s="203"/>
      <c r="R478" s="152"/>
      <c r="S478" s="222"/>
      <c r="T478" s="222" t="s">
        <v>469</v>
      </c>
      <c r="U478" s="222"/>
      <c r="V478" s="222"/>
      <c r="W478" s="222"/>
      <c r="X478" s="222"/>
      <c r="Y478" s="222"/>
      <c r="Z478" s="222"/>
      <c r="AA478" s="222"/>
      <c r="AB478" s="222"/>
      <c r="AC478" s="222"/>
      <c r="AD478" s="222"/>
    </row>
    <row r="479" spans="1:30" outlineLevel="1" x14ac:dyDescent="0.3">
      <c r="A479" s="152"/>
      <c r="B479" s="152"/>
      <c r="C479" s="224" t="str">
        <f>+$C$98</f>
        <v>Senior Notes:</v>
      </c>
      <c r="D479" s="152"/>
      <c r="E479" s="174" t="s">
        <v>14</v>
      </c>
      <c r="G479" s="2"/>
      <c r="H479" s="185"/>
      <c r="I479" s="185"/>
      <c r="J479" s="264"/>
      <c r="K479" s="223"/>
      <c r="L479" s="265"/>
      <c r="M479" s="203"/>
      <c r="N479" s="203"/>
      <c r="O479" s="203"/>
      <c r="P479" s="203"/>
      <c r="Q479" s="203"/>
      <c r="R479" s="152"/>
      <c r="S479" s="222"/>
      <c r="T479" s="222"/>
      <c r="U479" s="222"/>
      <c r="V479" s="222"/>
      <c r="W479" s="222"/>
      <c r="X479" s="222"/>
      <c r="Y479" s="222"/>
      <c r="Z479" s="222"/>
      <c r="AA479" s="222"/>
      <c r="AB479" s="222"/>
      <c r="AC479" s="222"/>
      <c r="AD479" s="222"/>
    </row>
    <row r="480" spans="1:30" outlineLevel="1" x14ac:dyDescent="0.3">
      <c r="A480" s="152"/>
      <c r="B480" s="152"/>
      <c r="C480" s="224" t="str">
        <f>+$C$99</f>
        <v>Subordinated Note:</v>
      </c>
      <c r="D480" s="152"/>
      <c r="E480" s="174" t="s">
        <v>14</v>
      </c>
      <c r="G480" s="2"/>
      <c r="H480" s="185"/>
      <c r="I480" s="185"/>
      <c r="J480" s="264"/>
      <c r="K480" s="223"/>
      <c r="L480" s="265"/>
      <c r="M480" s="203"/>
      <c r="N480" s="203"/>
      <c r="O480" s="203"/>
      <c r="P480" s="203"/>
      <c r="Q480" s="203"/>
      <c r="R480" s="152"/>
      <c r="S480" s="58"/>
      <c r="T480" s="58" t="s">
        <v>470</v>
      </c>
      <c r="U480" s="58"/>
      <c r="V480" s="58"/>
      <c r="W480" s="58"/>
      <c r="X480" s="58"/>
      <c r="Y480" s="58"/>
      <c r="Z480" s="58"/>
      <c r="AA480" s="58"/>
      <c r="AB480" s="58"/>
      <c r="AC480" s="58"/>
      <c r="AD480" s="222"/>
    </row>
    <row r="481" spans="1:30" outlineLevel="1" x14ac:dyDescent="0.3">
      <c r="A481" s="152"/>
      <c r="B481" s="222"/>
      <c r="C481" s="243" t="str">
        <f>+$C$100</f>
        <v>Mezzanine:</v>
      </c>
      <c r="D481" s="244"/>
      <c r="E481" s="178" t="s">
        <v>14</v>
      </c>
      <c r="F481" s="5"/>
      <c r="G481" s="5"/>
      <c r="H481" s="301"/>
      <c r="I481" s="301"/>
      <c r="J481" s="302"/>
      <c r="K481" s="301"/>
      <c r="L481" s="303"/>
      <c r="M481" s="291"/>
      <c r="N481" s="291"/>
      <c r="O481" s="291"/>
      <c r="P481" s="291"/>
      <c r="Q481" s="291"/>
      <c r="R481" s="152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222"/>
    </row>
    <row r="482" spans="1:30" outlineLevel="1" x14ac:dyDescent="0.3">
      <c r="A482" s="152"/>
      <c r="B482" s="222"/>
      <c r="C482" s="59" t="s">
        <v>42</v>
      </c>
      <c r="D482" s="152"/>
      <c r="E482" s="174" t="s">
        <v>14</v>
      </c>
      <c r="G482" s="2"/>
      <c r="H482" s="185"/>
      <c r="I482" s="185"/>
      <c r="J482" s="264"/>
      <c r="K482" s="223"/>
      <c r="L482" s="265"/>
      <c r="M482" s="38"/>
      <c r="N482" s="38"/>
      <c r="O482" s="38"/>
      <c r="P482" s="38"/>
      <c r="Q482" s="38"/>
      <c r="R482" s="152"/>
      <c r="S482" s="631" t="s">
        <v>471</v>
      </c>
      <c r="T482" s="150"/>
      <c r="U482" s="150"/>
      <c r="V482" s="150"/>
      <c r="W482" s="150"/>
      <c r="X482" s="150"/>
      <c r="Y482" s="150"/>
      <c r="Z482" s="150"/>
      <c r="AA482" s="150"/>
      <c r="AB482" s="150"/>
      <c r="AC482" s="150"/>
      <c r="AD482" s="222"/>
    </row>
    <row r="483" spans="1:30" outlineLevel="1" x14ac:dyDescent="0.3">
      <c r="A483" s="152"/>
      <c r="B483" s="152"/>
      <c r="C483" s="152"/>
      <c r="D483" s="152"/>
      <c r="G483" s="2"/>
      <c r="H483" s="185"/>
      <c r="I483" s="185"/>
      <c r="J483" s="264"/>
      <c r="K483" s="223"/>
      <c r="L483" s="265"/>
      <c r="M483" s="185"/>
      <c r="N483" s="185"/>
      <c r="O483" s="185"/>
      <c r="P483" s="185"/>
      <c r="Q483" s="185"/>
      <c r="R483" s="152"/>
      <c r="S483" s="58"/>
      <c r="T483" s="222"/>
      <c r="U483" s="58"/>
      <c r="V483" s="58"/>
      <c r="W483" s="58"/>
      <c r="X483" s="58"/>
      <c r="Y483" s="58"/>
      <c r="Z483" s="58"/>
      <c r="AA483" s="58"/>
      <c r="AB483" s="58"/>
      <c r="AC483" s="58"/>
      <c r="AD483" s="222"/>
    </row>
    <row r="484" spans="1:30" outlineLevel="1" x14ac:dyDescent="0.3">
      <c r="A484" s="152"/>
      <c r="B484" s="152"/>
      <c r="C484" s="7" t="s">
        <v>162</v>
      </c>
      <c r="D484" s="152"/>
      <c r="G484" s="2"/>
      <c r="H484" s="185"/>
      <c r="I484" s="185"/>
      <c r="J484" s="264"/>
      <c r="K484" s="223"/>
      <c r="L484" s="265"/>
      <c r="M484" s="185"/>
      <c r="N484" s="185"/>
      <c r="O484" s="185"/>
      <c r="P484" s="185"/>
      <c r="Q484" s="185"/>
      <c r="R484" s="152"/>
      <c r="S484" s="58"/>
      <c r="T484" s="58" t="s">
        <v>472</v>
      </c>
      <c r="U484" s="58"/>
      <c r="V484" s="58"/>
      <c r="W484" s="58"/>
      <c r="X484" s="58"/>
      <c r="Y484" s="58"/>
      <c r="Z484" s="58"/>
      <c r="AA484" s="58"/>
      <c r="AB484" s="58"/>
      <c r="AC484" s="58"/>
      <c r="AD484" s="222"/>
    </row>
    <row r="485" spans="1:30" outlineLevel="1" x14ac:dyDescent="0.3">
      <c r="A485" s="152"/>
      <c r="B485" s="152"/>
      <c r="C485" s="60" t="s">
        <v>163</v>
      </c>
      <c r="D485" s="152"/>
      <c r="E485" s="174" t="s">
        <v>14</v>
      </c>
      <c r="G485" s="2"/>
      <c r="H485" s="185"/>
      <c r="I485" s="185"/>
      <c r="J485" s="264"/>
      <c r="K485" s="223"/>
      <c r="L485" s="265"/>
      <c r="M485" s="203"/>
      <c r="N485" s="203"/>
      <c r="O485" s="203"/>
      <c r="P485" s="203"/>
      <c r="Q485" s="203"/>
      <c r="R485" s="152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222"/>
    </row>
    <row r="486" spans="1:30" outlineLevel="1" x14ac:dyDescent="0.3">
      <c r="A486" s="152"/>
      <c r="B486" s="152"/>
      <c r="C486" s="60" t="s">
        <v>164</v>
      </c>
      <c r="D486" s="152"/>
      <c r="E486" s="174" t="s">
        <v>14</v>
      </c>
      <c r="G486" s="2"/>
      <c r="H486" s="185"/>
      <c r="I486" s="185"/>
      <c r="J486" s="264"/>
      <c r="K486" s="223"/>
      <c r="L486" s="265"/>
      <c r="M486" s="203"/>
      <c r="N486" s="203"/>
      <c r="O486" s="203"/>
      <c r="P486" s="203"/>
      <c r="Q486" s="203"/>
      <c r="R486" s="152"/>
      <c r="S486" s="631" t="s">
        <v>454</v>
      </c>
      <c r="T486" s="150"/>
      <c r="U486" s="150"/>
      <c r="V486" s="150"/>
      <c r="W486" s="150"/>
      <c r="X486" s="150"/>
      <c r="Y486" s="150"/>
      <c r="Z486" s="150"/>
      <c r="AA486" s="150"/>
      <c r="AB486" s="150"/>
      <c r="AC486" s="150"/>
      <c r="AD486" s="222"/>
    </row>
    <row r="487" spans="1:30" outlineLevel="1" x14ac:dyDescent="0.3">
      <c r="A487" s="152"/>
      <c r="B487" s="152"/>
      <c r="C487" s="125" t="s">
        <v>428</v>
      </c>
      <c r="D487" s="244"/>
      <c r="E487" s="178" t="s">
        <v>14</v>
      </c>
      <c r="F487" s="5"/>
      <c r="G487" s="5"/>
      <c r="H487" s="301"/>
      <c r="I487" s="301"/>
      <c r="J487" s="302"/>
      <c r="K487" s="301"/>
      <c r="L487" s="303"/>
      <c r="M487" s="422"/>
      <c r="N487" s="422"/>
      <c r="O487" s="422"/>
      <c r="P487" s="422"/>
      <c r="Q487" s="422"/>
      <c r="R487" s="331"/>
      <c r="S487" s="58"/>
      <c r="T487" s="222"/>
      <c r="U487" s="58"/>
      <c r="V487" s="58"/>
      <c r="W487" s="58"/>
      <c r="X487" s="58"/>
      <c r="Y487" s="58"/>
      <c r="Z487" s="58"/>
      <c r="AA487" s="58"/>
      <c r="AB487" s="58"/>
      <c r="AC487" s="58"/>
      <c r="AD487" s="222"/>
    </row>
    <row r="488" spans="1:30" outlineLevel="1" x14ac:dyDescent="0.3">
      <c r="A488" s="152"/>
      <c r="B488" s="152"/>
      <c r="C488" s="59" t="s">
        <v>165</v>
      </c>
      <c r="D488" s="152"/>
      <c r="E488" s="174" t="s">
        <v>14</v>
      </c>
      <c r="G488" s="2"/>
      <c r="H488" s="185"/>
      <c r="I488" s="185"/>
      <c r="J488" s="264"/>
      <c r="K488" s="223"/>
      <c r="L488" s="265"/>
      <c r="M488" s="127"/>
      <c r="N488" s="127"/>
      <c r="O488" s="127"/>
      <c r="P488" s="127"/>
      <c r="Q488" s="127"/>
      <c r="R488" s="152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222"/>
    </row>
    <row r="489" spans="1:30" outlineLevel="1" x14ac:dyDescent="0.3">
      <c r="A489" s="152"/>
      <c r="B489" s="152"/>
      <c r="C489" s="125" t="s">
        <v>166</v>
      </c>
      <c r="D489" s="244"/>
      <c r="E489" s="178" t="s">
        <v>14</v>
      </c>
      <c r="F489" s="5"/>
      <c r="G489" s="5"/>
      <c r="H489" s="301"/>
      <c r="I489" s="301"/>
      <c r="J489" s="302"/>
      <c r="K489" s="301"/>
      <c r="L489" s="303"/>
      <c r="M489" s="291"/>
      <c r="N489" s="291"/>
      <c r="O489" s="291"/>
      <c r="P489" s="291"/>
      <c r="Q489" s="291"/>
      <c r="R489" s="152"/>
      <c r="S489" s="222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222"/>
    </row>
    <row r="490" spans="1:30" outlineLevel="1" x14ac:dyDescent="0.3">
      <c r="A490" s="152"/>
      <c r="B490" s="152"/>
      <c r="C490" s="7" t="s">
        <v>167</v>
      </c>
      <c r="D490" s="152"/>
      <c r="E490" s="174" t="s">
        <v>14</v>
      </c>
      <c r="G490" s="2"/>
      <c r="H490" s="185"/>
      <c r="I490" s="185"/>
      <c r="J490" s="264"/>
      <c r="K490" s="223"/>
      <c r="L490" s="265"/>
      <c r="M490" s="127"/>
      <c r="N490" s="127"/>
      <c r="O490" s="127"/>
      <c r="P490" s="127"/>
      <c r="Q490" s="127"/>
      <c r="R490" s="152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222"/>
    </row>
    <row r="491" spans="1:30" outlineLevel="1" x14ac:dyDescent="0.3">
      <c r="A491" s="152"/>
      <c r="B491" s="152"/>
      <c r="C491" s="152"/>
      <c r="D491" s="152"/>
      <c r="G491" s="2"/>
      <c r="H491" s="185"/>
      <c r="I491" s="185"/>
      <c r="J491" s="264"/>
      <c r="K491" s="223"/>
      <c r="L491" s="265"/>
      <c r="M491" s="185"/>
      <c r="N491" s="185"/>
      <c r="O491" s="152"/>
      <c r="P491" s="152"/>
      <c r="Q491" s="152"/>
      <c r="R491" s="152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222"/>
    </row>
    <row r="492" spans="1:30" outlineLevel="1" x14ac:dyDescent="0.3">
      <c r="A492" s="152"/>
      <c r="B492" s="152"/>
      <c r="C492" s="59" t="s">
        <v>169</v>
      </c>
      <c r="D492" s="152"/>
      <c r="G492" s="2"/>
      <c r="H492" s="185"/>
      <c r="I492" s="185"/>
      <c r="J492" s="264"/>
      <c r="K492" s="223"/>
      <c r="L492" s="265"/>
      <c r="M492" s="185"/>
      <c r="N492" s="185"/>
      <c r="O492" s="152"/>
      <c r="P492" s="152"/>
      <c r="Q492" s="152"/>
      <c r="R492" s="152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222"/>
    </row>
    <row r="493" spans="1:30" outlineLevel="1" x14ac:dyDescent="0.3">
      <c r="A493" s="152"/>
      <c r="B493" s="152"/>
      <c r="C493" s="12" t="s">
        <v>170</v>
      </c>
      <c r="D493" s="152"/>
      <c r="G493" s="2"/>
      <c r="H493" s="185"/>
      <c r="I493" s="185"/>
      <c r="J493" s="264"/>
      <c r="K493" s="223"/>
      <c r="L493" s="265"/>
      <c r="M493" s="185"/>
      <c r="N493" s="185"/>
      <c r="O493" s="152"/>
      <c r="P493" s="152"/>
      <c r="Q493" s="152"/>
      <c r="R493" s="152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222"/>
    </row>
    <row r="494" spans="1:30" outlineLevel="1" x14ac:dyDescent="0.3">
      <c r="A494" s="152"/>
      <c r="B494" s="152"/>
      <c r="C494" s="333" t="str">
        <f>+$C$440</f>
        <v>Existing Debt:</v>
      </c>
      <c r="D494" s="152"/>
      <c r="E494" s="174" t="s">
        <v>14</v>
      </c>
      <c r="G494" s="2"/>
      <c r="H494" s="185"/>
      <c r="I494" s="185"/>
      <c r="J494" s="264"/>
      <c r="K494" s="223"/>
      <c r="L494" s="265"/>
      <c r="M494" s="203"/>
      <c r="N494" s="203"/>
      <c r="O494" s="203"/>
      <c r="P494" s="203"/>
      <c r="Q494" s="203"/>
      <c r="R494" s="152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222"/>
    </row>
    <row r="495" spans="1:30" outlineLevel="1" x14ac:dyDescent="0.3">
      <c r="A495" s="152"/>
      <c r="B495" s="152"/>
      <c r="C495" s="318" t="str">
        <f>+$C$95</f>
        <v>Revolver:</v>
      </c>
      <c r="D495" s="152"/>
      <c r="E495" s="174" t="s">
        <v>14</v>
      </c>
      <c r="G495" s="2"/>
      <c r="H495" s="185"/>
      <c r="I495" s="185"/>
      <c r="J495" s="264"/>
      <c r="K495" s="223"/>
      <c r="L495" s="265"/>
      <c r="M495" s="203"/>
      <c r="N495" s="203"/>
      <c r="O495" s="203"/>
      <c r="P495" s="203"/>
      <c r="Q495" s="203"/>
      <c r="R495" s="152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222"/>
    </row>
    <row r="496" spans="1:30" outlineLevel="1" x14ac:dyDescent="0.3">
      <c r="A496" s="152"/>
      <c r="B496" s="152"/>
      <c r="C496" s="318" t="str">
        <f>+$C$96</f>
        <v>Term Loan - A:</v>
      </c>
      <c r="D496" s="152"/>
      <c r="E496" s="174" t="s">
        <v>14</v>
      </c>
      <c r="G496" s="2"/>
      <c r="H496" s="185"/>
      <c r="I496" s="185"/>
      <c r="J496" s="264"/>
      <c r="K496" s="223"/>
      <c r="L496" s="265"/>
      <c r="M496" s="203"/>
      <c r="N496" s="203"/>
      <c r="O496" s="203"/>
      <c r="P496" s="203"/>
      <c r="Q496" s="203"/>
      <c r="R496" s="152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222"/>
    </row>
    <row r="497" spans="1:30" outlineLevel="1" x14ac:dyDescent="0.3">
      <c r="A497" s="152"/>
      <c r="B497" s="152"/>
      <c r="C497" s="318" t="str">
        <f>+$C$97</f>
        <v>Term Loan - B:</v>
      </c>
      <c r="D497" s="152"/>
      <c r="E497" s="174" t="s">
        <v>14</v>
      </c>
      <c r="G497" s="2"/>
      <c r="H497" s="185"/>
      <c r="I497" s="185"/>
      <c r="J497" s="264"/>
      <c r="K497" s="223"/>
      <c r="L497" s="265"/>
      <c r="M497" s="203"/>
      <c r="N497" s="203"/>
      <c r="O497" s="203"/>
      <c r="P497" s="203"/>
      <c r="Q497" s="203"/>
      <c r="R497" s="152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222"/>
    </row>
    <row r="498" spans="1:30" outlineLevel="1" x14ac:dyDescent="0.3">
      <c r="A498" s="152"/>
      <c r="B498" s="152"/>
      <c r="C498" s="318" t="str">
        <f>+$C$98</f>
        <v>Senior Notes:</v>
      </c>
      <c r="D498" s="152"/>
      <c r="E498" s="174" t="s">
        <v>14</v>
      </c>
      <c r="G498" s="2"/>
      <c r="H498" s="185"/>
      <c r="I498" s="185"/>
      <c r="J498" s="264"/>
      <c r="K498" s="223"/>
      <c r="L498" s="265"/>
      <c r="M498" s="203"/>
      <c r="N498" s="203"/>
      <c r="O498" s="203"/>
      <c r="P498" s="203"/>
      <c r="Q498" s="203"/>
      <c r="R498" s="152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222"/>
    </row>
    <row r="499" spans="1:30" outlineLevel="1" x14ac:dyDescent="0.3">
      <c r="A499" s="152"/>
      <c r="B499" s="152"/>
      <c r="C499" s="318" t="str">
        <f>+$C$99</f>
        <v>Subordinated Note:</v>
      </c>
      <c r="D499" s="152"/>
      <c r="E499" s="174" t="s">
        <v>14</v>
      </c>
      <c r="G499" s="2"/>
      <c r="H499" s="185"/>
      <c r="I499" s="185"/>
      <c r="J499" s="264"/>
      <c r="K499" s="223"/>
      <c r="L499" s="265"/>
      <c r="M499" s="203"/>
      <c r="N499" s="203"/>
      <c r="O499" s="203"/>
      <c r="P499" s="203"/>
      <c r="Q499" s="203"/>
      <c r="R499" s="152"/>
      <c r="S499" s="222"/>
      <c r="T499" s="222"/>
      <c r="U499" s="222"/>
      <c r="V499" s="222"/>
      <c r="W499" s="222"/>
      <c r="X499" s="222"/>
      <c r="Y499" s="222"/>
      <c r="Z499" s="222"/>
      <c r="AA499" s="222"/>
      <c r="AB499" s="222"/>
      <c r="AC499" s="222"/>
      <c r="AD499" s="222"/>
    </row>
    <row r="500" spans="1:30" outlineLevel="1" x14ac:dyDescent="0.3">
      <c r="A500" s="152"/>
      <c r="B500" s="152"/>
      <c r="C500" s="290" t="str">
        <f>+$C$100</f>
        <v>Mezzanine:</v>
      </c>
      <c r="D500" s="244"/>
      <c r="E500" s="178" t="s">
        <v>14</v>
      </c>
      <c r="F500" s="5"/>
      <c r="G500" s="5"/>
      <c r="H500" s="301"/>
      <c r="I500" s="301"/>
      <c r="J500" s="302"/>
      <c r="K500" s="301"/>
      <c r="L500" s="303"/>
      <c r="M500" s="291"/>
      <c r="N500" s="291"/>
      <c r="O500" s="291"/>
      <c r="P500" s="291"/>
      <c r="Q500" s="291"/>
      <c r="R500" s="152"/>
      <c r="S500" s="222"/>
      <c r="T500" s="222"/>
      <c r="U500" s="222"/>
      <c r="V500" s="222"/>
      <c r="W500" s="222"/>
      <c r="X500" s="222"/>
      <c r="Y500" s="222"/>
      <c r="Z500" s="222"/>
      <c r="AA500" s="222"/>
      <c r="AB500" s="222"/>
      <c r="AC500" s="222"/>
      <c r="AD500" s="222"/>
    </row>
    <row r="501" spans="1:30" outlineLevel="1" x14ac:dyDescent="0.3">
      <c r="A501" s="152"/>
      <c r="B501" s="152"/>
      <c r="C501" s="22" t="s">
        <v>171</v>
      </c>
      <c r="D501" s="152"/>
      <c r="E501" s="174" t="s">
        <v>14</v>
      </c>
      <c r="G501" s="2"/>
      <c r="H501" s="185"/>
      <c r="I501" s="185"/>
      <c r="J501" s="264"/>
      <c r="K501" s="223"/>
      <c r="L501" s="265"/>
      <c r="M501" s="127"/>
      <c r="N501" s="127"/>
      <c r="O501" s="127"/>
      <c r="P501" s="127"/>
      <c r="Q501" s="127"/>
      <c r="R501" s="152"/>
      <c r="S501" s="222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222"/>
    </row>
    <row r="502" spans="1:30" outlineLevel="1" x14ac:dyDescent="0.3">
      <c r="A502" s="152"/>
      <c r="B502" s="152"/>
      <c r="C502" s="152"/>
      <c r="D502" s="152"/>
      <c r="G502" s="2"/>
      <c r="H502" s="185"/>
      <c r="I502" s="185"/>
      <c r="J502" s="264"/>
      <c r="K502" s="223"/>
      <c r="L502" s="265"/>
      <c r="M502" s="185"/>
      <c r="N502" s="185"/>
      <c r="O502" s="152"/>
      <c r="P502" s="152"/>
      <c r="Q502" s="152"/>
      <c r="R502" s="152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222"/>
    </row>
    <row r="503" spans="1:30" outlineLevel="1" x14ac:dyDescent="0.3">
      <c r="A503" s="152"/>
      <c r="B503" s="152"/>
      <c r="C503" s="12" t="s">
        <v>172</v>
      </c>
      <c r="D503" s="152"/>
      <c r="G503" s="2"/>
      <c r="H503" s="185"/>
      <c r="I503" s="185"/>
      <c r="J503" s="264"/>
      <c r="K503" s="223"/>
      <c r="L503" s="265"/>
      <c r="M503" s="185"/>
      <c r="N503" s="185"/>
      <c r="O503" s="152"/>
      <c r="P503" s="152"/>
      <c r="Q503" s="152"/>
      <c r="R503" s="152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222"/>
    </row>
    <row r="504" spans="1:30" outlineLevel="1" x14ac:dyDescent="0.3">
      <c r="A504" s="152"/>
      <c r="B504" s="152"/>
      <c r="C504" s="333" t="str">
        <f>+$C$440</f>
        <v>Existing Debt:</v>
      </c>
      <c r="D504" s="152"/>
      <c r="E504" s="174" t="s">
        <v>14</v>
      </c>
      <c r="G504" s="2"/>
      <c r="H504" s="185"/>
      <c r="I504" s="185"/>
      <c r="J504" s="264"/>
      <c r="K504" s="223"/>
      <c r="L504" s="265"/>
      <c r="M504" s="278"/>
      <c r="N504" s="278"/>
      <c r="O504" s="278"/>
      <c r="P504" s="278"/>
      <c r="Q504" s="278"/>
      <c r="R504" s="152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222"/>
    </row>
    <row r="505" spans="1:30" outlineLevel="1" x14ac:dyDescent="0.3">
      <c r="A505" s="152"/>
      <c r="B505" s="152"/>
      <c r="C505" s="318" t="str">
        <f>+$C$95</f>
        <v>Revolver:</v>
      </c>
      <c r="D505" s="152"/>
      <c r="E505" s="174" t="s">
        <v>14</v>
      </c>
      <c r="G505" s="2"/>
      <c r="H505" s="185"/>
      <c r="I505" s="185"/>
      <c r="J505" s="264"/>
      <c r="K505" s="223"/>
      <c r="L505" s="265"/>
      <c r="M505" s="278"/>
      <c r="N505" s="278"/>
      <c r="O505" s="278"/>
      <c r="P505" s="278"/>
      <c r="Q505" s="278"/>
      <c r="R505" s="152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222"/>
    </row>
    <row r="506" spans="1:30" outlineLevel="1" x14ac:dyDescent="0.3">
      <c r="A506" s="152"/>
      <c r="B506" s="152"/>
      <c r="C506" s="318" t="str">
        <f>+$C$96</f>
        <v>Term Loan - A:</v>
      </c>
      <c r="D506" s="152"/>
      <c r="E506" s="174" t="s">
        <v>14</v>
      </c>
      <c r="G506" s="2"/>
      <c r="H506" s="185"/>
      <c r="I506" s="185"/>
      <c r="J506" s="264"/>
      <c r="K506" s="223"/>
      <c r="L506" s="265"/>
      <c r="M506" s="278"/>
      <c r="N506" s="278"/>
      <c r="O506" s="278"/>
      <c r="P506" s="278"/>
      <c r="Q506" s="278"/>
      <c r="R506" s="152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222"/>
    </row>
    <row r="507" spans="1:30" outlineLevel="1" x14ac:dyDescent="0.3">
      <c r="A507" s="152"/>
      <c r="B507" s="152"/>
      <c r="C507" s="318" t="str">
        <f>+$C$97</f>
        <v>Term Loan - B:</v>
      </c>
      <c r="D507" s="152"/>
      <c r="E507" s="174" t="s">
        <v>14</v>
      </c>
      <c r="G507" s="2"/>
      <c r="H507" s="185"/>
      <c r="I507" s="185"/>
      <c r="J507" s="264"/>
      <c r="K507" s="223"/>
      <c r="L507" s="265"/>
      <c r="M507" s="278"/>
      <c r="N507" s="278"/>
      <c r="O507" s="278"/>
      <c r="P507" s="278"/>
      <c r="Q507" s="278"/>
      <c r="R507" s="152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222"/>
    </row>
    <row r="508" spans="1:30" outlineLevel="1" x14ac:dyDescent="0.3">
      <c r="A508" s="152"/>
      <c r="B508" s="152"/>
      <c r="C508" s="318" t="str">
        <f>+$C$98</f>
        <v>Senior Notes:</v>
      </c>
      <c r="D508" s="152"/>
      <c r="E508" s="174" t="s">
        <v>14</v>
      </c>
      <c r="G508" s="2"/>
      <c r="H508" s="185"/>
      <c r="I508" s="185"/>
      <c r="J508" s="264"/>
      <c r="K508" s="223"/>
      <c r="L508" s="265"/>
      <c r="M508" s="278"/>
      <c r="N508" s="278"/>
      <c r="O508" s="278"/>
      <c r="P508" s="278"/>
      <c r="Q508" s="278"/>
      <c r="R508" s="152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222"/>
    </row>
    <row r="509" spans="1:30" outlineLevel="1" x14ac:dyDescent="0.3">
      <c r="A509" s="152"/>
      <c r="B509" s="152"/>
      <c r="C509" s="318" t="str">
        <f>+$C$99</f>
        <v>Subordinated Note:</v>
      </c>
      <c r="D509" s="152"/>
      <c r="E509" s="174" t="s">
        <v>14</v>
      </c>
      <c r="G509" s="2"/>
      <c r="H509" s="185"/>
      <c r="I509" s="185"/>
      <c r="J509" s="264"/>
      <c r="K509" s="223"/>
      <c r="L509" s="265"/>
      <c r="M509" s="278"/>
      <c r="N509" s="278"/>
      <c r="O509" s="278"/>
      <c r="P509" s="278"/>
      <c r="Q509" s="278"/>
      <c r="R509" s="152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222"/>
    </row>
    <row r="510" spans="1:30" outlineLevel="1" x14ac:dyDescent="0.3">
      <c r="A510" s="152"/>
      <c r="B510" s="152"/>
      <c r="C510" s="290" t="str">
        <f>+$C$100</f>
        <v>Mezzanine:</v>
      </c>
      <c r="D510" s="244"/>
      <c r="E510" s="178" t="s">
        <v>14</v>
      </c>
      <c r="F510" s="5"/>
      <c r="G510" s="5"/>
      <c r="H510" s="301"/>
      <c r="I510" s="301"/>
      <c r="J510" s="302"/>
      <c r="K510" s="301"/>
      <c r="L510" s="303"/>
      <c r="M510" s="291"/>
      <c r="N510" s="291"/>
      <c r="O510" s="291"/>
      <c r="P510" s="291"/>
      <c r="Q510" s="291"/>
      <c r="R510" s="15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22"/>
      <c r="AC510" s="222"/>
      <c r="AD510" s="222"/>
    </row>
    <row r="511" spans="1:30" outlineLevel="1" x14ac:dyDescent="0.3">
      <c r="A511" s="152"/>
      <c r="B511" s="152"/>
      <c r="C511" s="22" t="s">
        <v>173</v>
      </c>
      <c r="D511" s="152"/>
      <c r="E511" s="174" t="s">
        <v>14</v>
      </c>
      <c r="G511" s="2"/>
      <c r="H511" s="185"/>
      <c r="I511" s="185"/>
      <c r="J511" s="264"/>
      <c r="K511" s="223"/>
      <c r="L511" s="265"/>
      <c r="M511" s="127"/>
      <c r="N511" s="127"/>
      <c r="O511" s="127"/>
      <c r="P511" s="127"/>
      <c r="Q511" s="127"/>
      <c r="R511" s="152"/>
      <c r="S511" s="152"/>
      <c r="T511" s="152"/>
      <c r="U511" s="152"/>
      <c r="V511" s="152"/>
      <c r="W511" s="152"/>
      <c r="X511" s="152"/>
    </row>
    <row r="512" spans="1:30" outlineLevel="1" x14ac:dyDescent="0.3">
      <c r="A512" s="152"/>
      <c r="B512" s="152"/>
      <c r="C512" s="152"/>
      <c r="D512" s="152"/>
      <c r="G512" s="2"/>
      <c r="H512" s="185"/>
      <c r="I512" s="185"/>
      <c r="J512" s="264"/>
      <c r="K512" s="223"/>
      <c r="L512" s="265"/>
      <c r="M512" s="185"/>
      <c r="N512" s="185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</row>
    <row r="513" spans="1:24" outlineLevel="1" x14ac:dyDescent="0.3">
      <c r="A513" s="152"/>
      <c r="B513" s="152"/>
      <c r="C513" s="22" t="s">
        <v>330</v>
      </c>
      <c r="D513" s="152"/>
      <c r="E513" s="174" t="s">
        <v>14</v>
      </c>
      <c r="G513" s="2"/>
      <c r="H513" s="185"/>
      <c r="I513" s="185"/>
      <c r="J513" s="264"/>
      <c r="K513" s="223"/>
      <c r="L513" s="265"/>
      <c r="M513" s="146"/>
      <c r="N513" s="146"/>
      <c r="O513" s="146"/>
      <c r="P513" s="146"/>
      <c r="Q513" s="146"/>
      <c r="R513" s="152"/>
      <c r="S513" s="152"/>
      <c r="T513" s="152"/>
      <c r="U513" s="152"/>
      <c r="V513" s="152"/>
      <c r="W513" s="152"/>
      <c r="X513" s="152"/>
    </row>
    <row r="514" spans="1:24" outlineLevel="1" x14ac:dyDescent="0.3">
      <c r="A514" s="152"/>
      <c r="B514" s="152"/>
      <c r="C514" s="7" t="s">
        <v>179</v>
      </c>
      <c r="D514" s="152"/>
      <c r="E514" s="174" t="s">
        <v>14</v>
      </c>
      <c r="G514" s="2"/>
      <c r="H514" s="185"/>
      <c r="I514" s="185"/>
      <c r="J514" s="264"/>
      <c r="K514" s="223"/>
      <c r="L514" s="265"/>
      <c r="M514" s="127"/>
      <c r="N514" s="127"/>
      <c r="O514" s="127"/>
      <c r="P514" s="127"/>
      <c r="Q514" s="127"/>
      <c r="R514" s="152"/>
      <c r="S514" s="152"/>
      <c r="T514" s="152"/>
      <c r="U514" s="152"/>
      <c r="V514" s="152"/>
      <c r="W514" s="152"/>
      <c r="X514" s="152"/>
    </row>
    <row r="515" spans="1:24" outlineLevel="1" x14ac:dyDescent="0.3">
      <c r="A515" s="152"/>
      <c r="B515" s="152"/>
      <c r="C515" s="152"/>
      <c r="D515" s="152"/>
      <c r="G515" s="2"/>
      <c r="H515" s="185"/>
      <c r="I515" s="185"/>
      <c r="J515" s="264"/>
      <c r="K515" s="223"/>
      <c r="L515" s="265"/>
      <c r="M515" s="185"/>
      <c r="N515" s="185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</row>
    <row r="516" spans="1:24" outlineLevel="1" x14ac:dyDescent="0.3">
      <c r="A516" s="152"/>
      <c r="B516" s="152" t="s">
        <v>429</v>
      </c>
      <c r="C516" s="59" t="s">
        <v>180</v>
      </c>
      <c r="D516" s="152"/>
      <c r="G516" s="2"/>
      <c r="H516" s="185"/>
      <c r="I516" s="185"/>
      <c r="J516" s="264"/>
      <c r="K516" s="223"/>
      <c r="L516" s="265"/>
      <c r="M516" s="128"/>
      <c r="N516" s="128"/>
      <c r="O516" s="128"/>
      <c r="P516" s="128"/>
      <c r="Q516" s="128"/>
      <c r="R516" s="152"/>
      <c r="S516" s="152"/>
      <c r="T516" s="152"/>
      <c r="U516" s="152"/>
      <c r="V516" s="152"/>
      <c r="W516" s="152"/>
      <c r="X516" s="152"/>
    </row>
    <row r="517" spans="1:24" x14ac:dyDescent="0.3">
      <c r="A517" s="152"/>
      <c r="B517" s="152"/>
      <c r="C517" s="152"/>
      <c r="D517" s="152"/>
      <c r="G517" s="2"/>
      <c r="H517" s="185"/>
      <c r="I517" s="185"/>
      <c r="J517" s="185"/>
      <c r="K517" s="185"/>
      <c r="L517" s="185"/>
      <c r="M517" s="185"/>
      <c r="N517" s="185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</row>
    <row r="518" spans="1:24" x14ac:dyDescent="0.3">
      <c r="A518" s="152"/>
      <c r="B518" s="171"/>
      <c r="C518" s="172"/>
      <c r="D518" s="172"/>
      <c r="E518" s="169"/>
      <c r="F518" s="157" t="str">
        <f>$F$131</f>
        <v>Historical</v>
      </c>
      <c r="G518" s="158"/>
      <c r="H518" s="159"/>
      <c r="I518" s="159"/>
      <c r="J518" s="165" t="str">
        <f>$J$131</f>
        <v>Transaction Adjustments</v>
      </c>
      <c r="K518" s="166"/>
      <c r="L518" s="167"/>
      <c r="M518" s="157" t="str">
        <f>$M$131</f>
        <v>Projected</v>
      </c>
      <c r="N518" s="158"/>
      <c r="O518" s="158"/>
      <c r="P518" s="158"/>
      <c r="Q518" s="159"/>
      <c r="R518" s="152"/>
      <c r="S518" s="152"/>
      <c r="T518" s="152"/>
      <c r="U518" s="152"/>
      <c r="V518" s="152"/>
      <c r="W518" s="152"/>
      <c r="X518" s="152"/>
    </row>
    <row r="519" spans="1:24" x14ac:dyDescent="0.3">
      <c r="A519" s="152"/>
      <c r="B519" s="173" t="s">
        <v>299</v>
      </c>
      <c r="C519" s="173"/>
      <c r="D519" s="173"/>
      <c r="E519" s="170" t="s">
        <v>0</v>
      </c>
      <c r="F519" s="160">
        <f>$F$132</f>
        <v>40543</v>
      </c>
      <c r="G519" s="161">
        <f>$G$132</f>
        <v>40908</v>
      </c>
      <c r="H519" s="161">
        <f>$H$132</f>
        <v>41274</v>
      </c>
      <c r="I519" s="162">
        <f>$I$132</f>
        <v>41639</v>
      </c>
      <c r="J519" s="164" t="str">
        <f>$J$132</f>
        <v xml:space="preserve">Debit </v>
      </c>
      <c r="K519" s="164" t="str">
        <f>$K$132</f>
        <v>Credit</v>
      </c>
      <c r="L519" s="168">
        <f>$L$132</f>
        <v>41639</v>
      </c>
      <c r="M519" s="160">
        <f>$M$132</f>
        <v>42004</v>
      </c>
      <c r="N519" s="161">
        <f>$N$132</f>
        <v>42369</v>
      </c>
      <c r="O519" s="161">
        <f>$O$132</f>
        <v>42735</v>
      </c>
      <c r="P519" s="160">
        <f>$P$132</f>
        <v>43100</v>
      </c>
      <c r="Q519" s="163">
        <f>$Q$132</f>
        <v>43465</v>
      </c>
      <c r="R519" s="152"/>
      <c r="S519" s="152"/>
      <c r="T519" s="152"/>
      <c r="U519" s="152"/>
      <c r="V519" s="152"/>
      <c r="W519" s="152"/>
      <c r="X519" s="152"/>
    </row>
    <row r="520" spans="1:24" outlineLevel="1" x14ac:dyDescent="0.3">
      <c r="A520" s="152"/>
      <c r="B520" s="152"/>
      <c r="C520" s="365"/>
      <c r="D520" s="365"/>
      <c r="E520" s="6"/>
      <c r="F520" s="6"/>
      <c r="G520" s="6"/>
      <c r="H520" s="242"/>
      <c r="I520" s="242"/>
      <c r="J520" s="276"/>
      <c r="K520" s="242"/>
      <c r="L520" s="277"/>
      <c r="M520" s="242"/>
      <c r="N520" s="242"/>
      <c r="O520" s="365"/>
      <c r="P520" s="365"/>
      <c r="Q520" s="365"/>
      <c r="R520" s="152"/>
      <c r="S520" s="152"/>
      <c r="T520" s="152"/>
      <c r="U520" s="152"/>
      <c r="V520" s="152"/>
      <c r="W520" s="152"/>
      <c r="X520" s="152"/>
    </row>
    <row r="521" spans="1:24" outlineLevel="1" x14ac:dyDescent="0.3">
      <c r="A521" s="152"/>
      <c r="B521" s="152"/>
      <c r="C521" s="222" t="s">
        <v>190</v>
      </c>
      <c r="D521" s="222"/>
      <c r="E521" s="174" t="s">
        <v>14</v>
      </c>
      <c r="F521" s="287">
        <f>+F312</f>
        <v>186.51700000000005</v>
      </c>
      <c r="G521" s="287">
        <f>+G312</f>
        <v>182.27800000000005</v>
      </c>
      <c r="H521" s="287">
        <f>+H312</f>
        <v>165.33299999999991</v>
      </c>
      <c r="I521" s="287">
        <f>+I312</f>
        <v>165.55</v>
      </c>
      <c r="J521" s="264"/>
      <c r="K521" s="223"/>
      <c r="L521" s="265"/>
      <c r="M521" s="287"/>
      <c r="N521" s="287"/>
      <c r="O521" s="287"/>
      <c r="P521" s="287"/>
      <c r="Q521" s="287"/>
      <c r="R521" s="152"/>
      <c r="S521" s="152"/>
      <c r="T521" s="152"/>
      <c r="U521" s="152"/>
      <c r="V521" s="152"/>
      <c r="W521" s="152"/>
      <c r="X521" s="152"/>
    </row>
    <row r="522" spans="1:24" outlineLevel="1" x14ac:dyDescent="0.3">
      <c r="A522" s="152"/>
      <c r="B522" s="152"/>
      <c r="C522" s="148" t="s">
        <v>345</v>
      </c>
      <c r="D522" s="152"/>
      <c r="E522" s="174" t="s">
        <v>14</v>
      </c>
      <c r="F522" s="278">
        <f>+F521+F424</f>
        <v>86.673000000000059</v>
      </c>
      <c r="G522" s="278">
        <f>+G521+G424</f>
        <v>87.609000000000052</v>
      </c>
      <c r="H522" s="278">
        <f>+H521+H424</f>
        <v>65.843999999999909</v>
      </c>
      <c r="I522" s="278">
        <f>+I521+I424</f>
        <v>91.465000000000018</v>
      </c>
      <c r="J522" s="313"/>
      <c r="K522" s="278"/>
      <c r="L522" s="314"/>
      <c r="M522" s="278"/>
      <c r="N522" s="278"/>
      <c r="O522" s="278"/>
      <c r="P522" s="278"/>
      <c r="Q522" s="278"/>
      <c r="R522" s="152"/>
      <c r="S522" s="152"/>
      <c r="T522" s="152"/>
      <c r="U522" s="152"/>
      <c r="V522" s="152"/>
      <c r="W522" s="152"/>
      <c r="X522" s="152"/>
    </row>
    <row r="523" spans="1:24" outlineLevel="1" x14ac:dyDescent="0.3">
      <c r="A523" s="152"/>
      <c r="B523" s="152"/>
      <c r="C523" s="148" t="s">
        <v>346</v>
      </c>
      <c r="D523" s="152"/>
      <c r="E523" s="174" t="s">
        <v>14</v>
      </c>
      <c r="F523" s="278">
        <f>+F521+F424+SUM(F413:F420)</f>
        <v>91.779000000000053</v>
      </c>
      <c r="G523" s="278">
        <f>+G521+G424+SUM(G413:G420)</f>
        <v>96.309000000000054</v>
      </c>
      <c r="H523" s="278">
        <f>+H521+H424+SUM(H413:H420)</f>
        <v>64.216999999999913</v>
      </c>
      <c r="I523" s="278">
        <f>+I521+I424+SUM(I413:I420)</f>
        <v>93.233000000000018</v>
      </c>
      <c r="J523" s="313"/>
      <c r="K523" s="278"/>
      <c r="L523" s="314"/>
      <c r="M523" s="278"/>
      <c r="N523" s="278"/>
      <c r="O523" s="278"/>
      <c r="P523" s="278"/>
      <c r="Q523" s="278"/>
      <c r="R523" s="152"/>
      <c r="S523" s="152"/>
      <c r="T523" s="152"/>
      <c r="U523" s="152"/>
      <c r="V523" s="152"/>
      <c r="W523" s="152"/>
      <c r="X523" s="152"/>
    </row>
    <row r="524" spans="1:24" outlineLevel="1" x14ac:dyDescent="0.3">
      <c r="A524" s="152"/>
      <c r="B524" s="152"/>
      <c r="C524" s="148"/>
      <c r="D524" s="152"/>
      <c r="G524" s="2"/>
      <c r="H524" s="185"/>
      <c r="I524" s="185"/>
      <c r="J524" s="264"/>
      <c r="K524" s="185"/>
      <c r="L524" s="265"/>
      <c r="M524" s="185"/>
      <c r="N524" s="185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</row>
    <row r="525" spans="1:24" outlineLevel="1" x14ac:dyDescent="0.3">
      <c r="A525" s="152"/>
      <c r="B525" s="152"/>
      <c r="C525" s="148" t="s">
        <v>383</v>
      </c>
      <c r="D525" s="152"/>
      <c r="E525" s="174" t="s">
        <v>14</v>
      </c>
      <c r="F525" s="278">
        <f>+F368+F369+SUM(F372:F377)</f>
        <v>388.262</v>
      </c>
      <c r="G525" s="278">
        <f>+G368+G369+SUM(G372:G377)</f>
        <v>400.50900000000001</v>
      </c>
      <c r="H525" s="278">
        <f>+H368+H369+SUM(H372:H377)</f>
        <v>412.21600000000001</v>
      </c>
      <c r="I525" s="278">
        <f>+I368+I369+SUM(I372:I377)</f>
        <v>382.87900000000002</v>
      </c>
      <c r="J525" s="313"/>
      <c r="K525" s="278"/>
      <c r="L525" s="314"/>
      <c r="M525" s="278"/>
      <c r="N525" s="278"/>
      <c r="O525" s="278"/>
      <c r="P525" s="278"/>
      <c r="Q525" s="278"/>
      <c r="R525" s="152"/>
      <c r="S525" s="152"/>
      <c r="T525" s="152"/>
      <c r="U525" s="152"/>
      <c r="V525" s="152"/>
      <c r="W525" s="152"/>
      <c r="X525" s="152"/>
    </row>
    <row r="526" spans="1:24" outlineLevel="1" x14ac:dyDescent="0.3">
      <c r="A526" s="152"/>
      <c r="B526" s="152"/>
      <c r="C526" s="148" t="s">
        <v>384</v>
      </c>
      <c r="D526" s="152"/>
      <c r="E526" s="174" t="s">
        <v>14</v>
      </c>
      <c r="F526" s="278">
        <f>+F525-F342</f>
        <v>368.99299999999994</v>
      </c>
      <c r="G526" s="278">
        <f>+G525-G342</f>
        <v>381.83599999999996</v>
      </c>
      <c r="H526" s="278">
        <f>+H525-H342</f>
        <v>392.58</v>
      </c>
      <c r="I526" s="278">
        <f>+I525-I342</f>
        <v>362.19299999999993</v>
      </c>
      <c r="J526" s="313"/>
      <c r="K526" s="278"/>
      <c r="L526" s="314"/>
      <c r="M526" s="278"/>
      <c r="N526" s="278"/>
      <c r="O526" s="278"/>
      <c r="P526" s="278"/>
      <c r="Q526" s="278"/>
      <c r="R526" s="152"/>
      <c r="S526" s="152"/>
      <c r="T526" s="152"/>
      <c r="U526" s="152"/>
      <c r="V526" s="152"/>
      <c r="W526" s="152"/>
      <c r="X526" s="152"/>
    </row>
    <row r="527" spans="1:24" outlineLevel="1" x14ac:dyDescent="0.3">
      <c r="A527" s="152"/>
      <c r="B527" s="152"/>
      <c r="C527" s="148" t="s">
        <v>71</v>
      </c>
      <c r="D527" s="152"/>
      <c r="E527" s="174" t="s">
        <v>14</v>
      </c>
      <c r="F527" s="278">
        <f>+F389</f>
        <v>158.0619999999999</v>
      </c>
      <c r="G527" s="278">
        <f>+G389</f>
        <v>124.17700000000013</v>
      </c>
      <c r="H527" s="278">
        <f>+H389</f>
        <v>143.27399999999989</v>
      </c>
      <c r="I527" s="278">
        <f>+I389</f>
        <v>160.76800000000003</v>
      </c>
      <c r="J527" s="313"/>
      <c r="K527" s="278"/>
      <c r="L527" s="314"/>
      <c r="M527" s="278"/>
      <c r="N527" s="278"/>
      <c r="O527" s="278"/>
      <c r="P527" s="278"/>
      <c r="Q527" s="278"/>
      <c r="R527" s="152"/>
      <c r="S527" s="152"/>
      <c r="T527" s="152"/>
      <c r="U527" s="152"/>
      <c r="V527" s="152"/>
      <c r="W527" s="152"/>
      <c r="X527" s="152"/>
    </row>
    <row r="528" spans="1:24" outlineLevel="1" x14ac:dyDescent="0.3">
      <c r="A528" s="152"/>
      <c r="B528" s="152"/>
      <c r="C528" s="148" t="s">
        <v>198</v>
      </c>
      <c r="D528" s="152"/>
      <c r="E528" s="174" t="s">
        <v>14</v>
      </c>
      <c r="F528" s="278">
        <f>+F527+F525</f>
        <v>546.32399999999984</v>
      </c>
      <c r="G528" s="278">
        <f t="shared" ref="G528:I528" si="182">+G527+G525</f>
        <v>524.68600000000015</v>
      </c>
      <c r="H528" s="278">
        <f t="shared" si="182"/>
        <v>555.4899999999999</v>
      </c>
      <c r="I528" s="278">
        <f t="shared" si="182"/>
        <v>543.64700000000005</v>
      </c>
      <c r="J528" s="313"/>
      <c r="K528" s="278"/>
      <c r="L528" s="314"/>
      <c r="M528" s="278"/>
      <c r="N528" s="278"/>
      <c r="O528" s="278"/>
      <c r="P528" s="278"/>
      <c r="Q528" s="278"/>
      <c r="R528" s="152"/>
      <c r="S528" s="152"/>
      <c r="T528" s="152"/>
      <c r="U528" s="152"/>
      <c r="V528" s="152"/>
      <c r="W528" s="152"/>
      <c r="X528" s="152"/>
    </row>
    <row r="529" spans="1:24" outlineLevel="1" x14ac:dyDescent="0.3">
      <c r="A529" s="152"/>
      <c r="B529" s="152"/>
      <c r="C529" s="148" t="s">
        <v>359</v>
      </c>
      <c r="D529" s="152"/>
      <c r="E529" s="174" t="s">
        <v>14</v>
      </c>
      <c r="F529" s="278">
        <f>+F526+F527</f>
        <v>527.05499999999984</v>
      </c>
      <c r="G529" s="278">
        <f t="shared" ref="G529:I529" si="183">+G526+G527</f>
        <v>506.01300000000009</v>
      </c>
      <c r="H529" s="278">
        <f t="shared" si="183"/>
        <v>535.85399999999981</v>
      </c>
      <c r="I529" s="278">
        <f t="shared" si="183"/>
        <v>522.96100000000001</v>
      </c>
      <c r="J529" s="313"/>
      <c r="K529" s="278"/>
      <c r="L529" s="314"/>
      <c r="M529" s="278"/>
      <c r="N529" s="278"/>
      <c r="O529" s="278"/>
      <c r="P529" s="278"/>
      <c r="Q529" s="278"/>
      <c r="R529" s="152"/>
      <c r="S529" s="152"/>
      <c r="T529" s="152"/>
      <c r="U529" s="152"/>
      <c r="V529" s="152"/>
      <c r="W529" s="152"/>
      <c r="X529" s="152"/>
    </row>
    <row r="530" spans="1:24" outlineLevel="1" x14ac:dyDescent="0.3">
      <c r="A530" s="152"/>
      <c r="B530" s="152"/>
      <c r="C530" s="148"/>
      <c r="D530" s="152"/>
      <c r="G530" s="2"/>
      <c r="H530" s="185"/>
      <c r="I530" s="185"/>
      <c r="J530" s="264"/>
      <c r="K530" s="185"/>
      <c r="L530" s="265"/>
      <c r="M530" s="185"/>
      <c r="N530" s="185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</row>
    <row r="531" spans="1:24" outlineLevel="1" x14ac:dyDescent="0.3">
      <c r="A531" s="152"/>
      <c r="B531" s="152"/>
      <c r="C531" s="2" t="s">
        <v>32</v>
      </c>
      <c r="D531" s="152"/>
      <c r="E531" s="174" t="s">
        <v>28</v>
      </c>
      <c r="F531" s="52">
        <f>+F268</f>
        <v>4.7974662689680425E-3</v>
      </c>
      <c r="G531" s="455">
        <f>+G268</f>
        <v>4.8088218019499696E-3</v>
      </c>
      <c r="H531" s="455">
        <f>+H268</f>
        <v>-2.1551965590895117E-2</v>
      </c>
      <c r="I531" s="455">
        <f>+I268</f>
        <v>2.2702494150445673E-2</v>
      </c>
      <c r="J531" s="264"/>
      <c r="K531" s="185"/>
      <c r="L531" s="265"/>
      <c r="M531" s="52"/>
      <c r="N531" s="455"/>
      <c r="O531" s="455"/>
      <c r="P531" s="455"/>
      <c r="Q531" s="455"/>
      <c r="R531" s="152"/>
      <c r="S531" s="152"/>
      <c r="T531" s="152"/>
      <c r="U531" s="152"/>
      <c r="V531" s="152"/>
      <c r="W531" s="152"/>
      <c r="X531" s="152"/>
    </row>
    <row r="532" spans="1:24" outlineLevel="1" x14ac:dyDescent="0.3">
      <c r="A532" s="152"/>
      <c r="B532" s="152"/>
      <c r="C532" s="2" t="s">
        <v>360</v>
      </c>
      <c r="D532" s="152"/>
      <c r="E532" s="174" t="s">
        <v>28</v>
      </c>
      <c r="F532" s="52">
        <f>+F298</f>
        <v>0.1283600571674694</v>
      </c>
      <c r="G532" s="455">
        <f>+G298</f>
        <v>0.11931517892588457</v>
      </c>
      <c r="H532" s="455">
        <f>+H298</f>
        <v>9.8410663613282129E-2</v>
      </c>
      <c r="I532" s="455">
        <f>+I298</f>
        <v>0.10158070683358464</v>
      </c>
      <c r="J532" s="264"/>
      <c r="K532" s="185"/>
      <c r="L532" s="265"/>
      <c r="M532" s="52"/>
      <c r="N532" s="455"/>
      <c r="O532" s="455"/>
      <c r="P532" s="455"/>
      <c r="Q532" s="455"/>
      <c r="R532" s="152"/>
      <c r="S532" s="152"/>
      <c r="T532" s="152"/>
      <c r="U532" s="152"/>
      <c r="V532" s="152"/>
      <c r="W532" s="152"/>
      <c r="X532" s="152"/>
    </row>
    <row r="533" spans="1:24" outlineLevel="1" x14ac:dyDescent="0.3">
      <c r="A533" s="152"/>
      <c r="B533" s="152"/>
      <c r="C533" s="2" t="s">
        <v>361</v>
      </c>
      <c r="D533" s="152"/>
      <c r="E533" s="174" t="s">
        <v>28</v>
      </c>
      <c r="F533" s="52">
        <f>+F313</f>
        <v>0.22822570382552179</v>
      </c>
      <c r="G533" s="455">
        <f>+G313</f>
        <v>0.22197136309058457</v>
      </c>
      <c r="H533" s="455">
        <f>+H313</f>
        <v>0.20577114551700096</v>
      </c>
      <c r="I533" s="455">
        <f>+I313</f>
        <v>0.20146740803752125</v>
      </c>
      <c r="J533" s="264"/>
      <c r="K533" s="185"/>
      <c r="L533" s="265"/>
      <c r="M533" s="52"/>
      <c r="N533" s="455"/>
      <c r="O533" s="455"/>
      <c r="P533" s="455"/>
      <c r="Q533" s="455"/>
      <c r="R533" s="152"/>
      <c r="S533" s="152"/>
      <c r="T533" s="152"/>
      <c r="U533" s="152"/>
      <c r="V533" s="152"/>
      <c r="W533" s="152"/>
      <c r="X533" s="152"/>
    </row>
    <row r="534" spans="1:24" outlineLevel="1" x14ac:dyDescent="0.3">
      <c r="A534" s="152"/>
      <c r="B534" s="152"/>
      <c r="C534" s="2" t="s">
        <v>362</v>
      </c>
      <c r="D534" s="152"/>
      <c r="E534" s="174" t="s">
        <v>28</v>
      </c>
      <c r="F534" s="52">
        <f>+F310</f>
        <v>6.6117017111085058E-2</v>
      </c>
      <c r="G534" s="455">
        <f>+G310</f>
        <v>6.6930677636273792E-2</v>
      </c>
      <c r="H534" s="455">
        <f>+H310</f>
        <v>5.4251505949121349E-2</v>
      </c>
      <c r="I534" s="455">
        <f>+I310</f>
        <v>5.8199802609401483E-2</v>
      </c>
      <c r="J534" s="264"/>
      <c r="K534" s="185"/>
      <c r="L534" s="265"/>
      <c r="M534" s="52"/>
      <c r="N534" s="455"/>
      <c r="O534" s="455"/>
      <c r="P534" s="455"/>
      <c r="Q534" s="455"/>
      <c r="R534" s="152"/>
      <c r="S534" s="152"/>
      <c r="T534" s="152"/>
      <c r="U534" s="152"/>
      <c r="V534" s="152"/>
      <c r="W534" s="152"/>
      <c r="X534" s="152"/>
    </row>
    <row r="535" spans="1:24" outlineLevel="1" x14ac:dyDescent="0.3">
      <c r="A535" s="152"/>
      <c r="B535" s="152"/>
      <c r="C535" s="148"/>
      <c r="D535" s="152"/>
      <c r="F535" s="52"/>
      <c r="G535" s="455"/>
      <c r="H535" s="455"/>
      <c r="I535" s="455"/>
      <c r="J535" s="264"/>
      <c r="K535" s="185"/>
      <c r="L535" s="265"/>
      <c r="M535" s="52"/>
      <c r="N535" s="455"/>
      <c r="O535" s="455"/>
      <c r="P535" s="455"/>
      <c r="Q535" s="455"/>
      <c r="R535" s="152"/>
      <c r="S535" s="152"/>
      <c r="T535" s="152"/>
      <c r="U535" s="152"/>
      <c r="V535" s="152"/>
      <c r="W535" s="152"/>
      <c r="X535" s="152"/>
    </row>
    <row r="536" spans="1:24" outlineLevel="1" x14ac:dyDescent="0.3">
      <c r="A536" s="152"/>
      <c r="B536" s="152"/>
      <c r="C536" s="2" t="s">
        <v>46</v>
      </c>
      <c r="D536" s="152"/>
      <c r="E536" s="174" t="s">
        <v>28</v>
      </c>
      <c r="F536" s="52">
        <f>+F307</f>
        <v>0.41748598533850773</v>
      </c>
      <c r="G536" s="455">
        <f>+G307</f>
        <v>0.3831702280481234</v>
      </c>
      <c r="H536" s="455">
        <f>+H307</f>
        <v>0.37433615616477578</v>
      </c>
      <c r="I536" s="455">
        <f>+I307</f>
        <v>0.3708858428266989</v>
      </c>
      <c r="J536" s="264"/>
      <c r="K536" s="185"/>
      <c r="L536" s="265"/>
      <c r="M536" s="52"/>
      <c r="N536" s="455"/>
      <c r="O536" s="455"/>
      <c r="P536" s="455"/>
      <c r="Q536" s="455"/>
      <c r="R536" s="152"/>
      <c r="S536" s="152"/>
      <c r="T536" s="152"/>
      <c r="U536" s="152"/>
      <c r="V536" s="152"/>
      <c r="W536" s="152"/>
      <c r="X536" s="152"/>
    </row>
    <row r="537" spans="1:24" outlineLevel="1" x14ac:dyDescent="0.3">
      <c r="A537" s="152"/>
      <c r="B537" s="152"/>
      <c r="C537" s="148"/>
      <c r="D537" s="152"/>
      <c r="F537" s="52"/>
      <c r="G537" s="455"/>
      <c r="H537" s="455"/>
      <c r="I537" s="455"/>
      <c r="J537" s="264"/>
      <c r="K537" s="185"/>
      <c r="L537" s="265"/>
      <c r="M537" s="52"/>
      <c r="N537" s="455"/>
      <c r="O537" s="455"/>
      <c r="P537" s="455"/>
      <c r="Q537" s="455"/>
      <c r="R537" s="152"/>
      <c r="S537" s="152"/>
      <c r="T537" s="152"/>
      <c r="U537" s="152"/>
      <c r="V537" s="152"/>
      <c r="W537" s="152"/>
      <c r="X537" s="152"/>
    </row>
    <row r="538" spans="1:24" outlineLevel="1" x14ac:dyDescent="0.3">
      <c r="A538" s="152"/>
      <c r="B538" s="152"/>
      <c r="C538" s="2" t="s">
        <v>363</v>
      </c>
      <c r="D538" s="152"/>
      <c r="E538" s="174" t="s">
        <v>28</v>
      </c>
      <c r="F538" s="52">
        <f>+F223</f>
        <v>9.8720339480794075E-2</v>
      </c>
      <c r="G538" s="52">
        <f>+G223</f>
        <v>9.9320731924138247E-2</v>
      </c>
      <c r="H538" s="52">
        <f>+H223</f>
        <v>9.8957036889530559E-2</v>
      </c>
      <c r="I538" s="52">
        <f>+I223</f>
        <v>9.6173762140677924E-2</v>
      </c>
      <c r="J538" s="264"/>
      <c r="K538" s="185"/>
      <c r="L538" s="265"/>
      <c r="M538" s="52"/>
      <c r="N538" s="52"/>
      <c r="O538" s="52"/>
      <c r="P538" s="52"/>
      <c r="Q538" s="52"/>
      <c r="R538" s="152"/>
      <c r="S538" s="152"/>
      <c r="T538" s="152"/>
      <c r="U538" s="152"/>
      <c r="V538" s="152"/>
      <c r="W538" s="152"/>
      <c r="X538" s="152"/>
    </row>
    <row r="539" spans="1:24" outlineLevel="1" x14ac:dyDescent="0.3">
      <c r="A539" s="152"/>
      <c r="B539" s="152"/>
      <c r="C539" s="2" t="s">
        <v>364</v>
      </c>
      <c r="D539" s="152"/>
      <c r="E539" s="174" t="s">
        <v>28</v>
      </c>
      <c r="F539" s="52">
        <f>+F210</f>
        <v>0.12211715415638826</v>
      </c>
      <c r="G539" s="52">
        <f>+G210</f>
        <v>0.11532213478685496</v>
      </c>
      <c r="H539" s="52">
        <f>+H210</f>
        <v>0.12757007019465327</v>
      </c>
      <c r="I539" s="52">
        <f>+I210</f>
        <v>9.0054896978414817E-2</v>
      </c>
      <c r="J539" s="264"/>
      <c r="K539" s="185"/>
      <c r="L539" s="265"/>
      <c r="M539" s="52"/>
      <c r="N539" s="52"/>
      <c r="O539" s="52"/>
      <c r="P539" s="52"/>
      <c r="Q539" s="52"/>
      <c r="R539" s="152"/>
      <c r="S539" s="152"/>
      <c r="T539" s="152"/>
      <c r="U539" s="152"/>
      <c r="V539" s="152"/>
      <c r="W539" s="152"/>
      <c r="X539" s="152"/>
    </row>
    <row r="540" spans="1:24" outlineLevel="1" x14ac:dyDescent="0.3">
      <c r="A540" s="152"/>
      <c r="B540" s="152"/>
      <c r="C540" s="148"/>
      <c r="D540" s="152"/>
      <c r="G540" s="2"/>
      <c r="H540" s="185"/>
      <c r="I540" s="185"/>
      <c r="J540" s="264"/>
      <c r="K540" s="185"/>
      <c r="L540" s="265"/>
      <c r="M540" s="2"/>
      <c r="N540" s="2"/>
      <c r="O540" s="185"/>
      <c r="P540" s="185"/>
      <c r="Q540" s="185"/>
      <c r="R540" s="152"/>
      <c r="S540" s="152"/>
      <c r="T540" s="152"/>
      <c r="U540" s="152"/>
      <c r="V540" s="152"/>
      <c r="W540" s="152"/>
      <c r="X540" s="152"/>
    </row>
    <row r="541" spans="1:24" outlineLevel="1" x14ac:dyDescent="0.3">
      <c r="A541" s="152"/>
      <c r="B541" s="152"/>
      <c r="C541" s="4" t="s">
        <v>191</v>
      </c>
      <c r="D541" s="152"/>
      <c r="E541" s="453" t="s">
        <v>205</v>
      </c>
      <c r="F541" s="454">
        <f>+F$525/F521</f>
        <v>2.0816440324474437</v>
      </c>
      <c r="G541" s="454">
        <f t="shared" ref="G541:I541" si="184">+G$525/G521</f>
        <v>2.197242673279276</v>
      </c>
      <c r="H541" s="454">
        <f t="shared" si="184"/>
        <v>2.4932469621914572</v>
      </c>
      <c r="I541" s="454">
        <f t="shared" si="184"/>
        <v>2.31276955602537</v>
      </c>
      <c r="J541" s="264"/>
      <c r="K541" s="185"/>
      <c r="L541" s="265"/>
      <c r="M541" s="454"/>
      <c r="N541" s="454"/>
      <c r="O541" s="454"/>
      <c r="P541" s="454"/>
      <c r="Q541" s="454"/>
      <c r="R541" s="152"/>
      <c r="S541" s="152"/>
      <c r="T541" s="152"/>
      <c r="U541" s="152"/>
      <c r="V541" s="152"/>
      <c r="W541" s="152"/>
      <c r="X541" s="152"/>
    </row>
    <row r="542" spans="1:24" outlineLevel="1" x14ac:dyDescent="0.3">
      <c r="A542" s="152"/>
      <c r="B542" s="152"/>
      <c r="C542" s="4" t="s">
        <v>365</v>
      </c>
      <c r="D542" s="152"/>
      <c r="E542" s="453" t="s">
        <v>205</v>
      </c>
      <c r="F542" s="454">
        <f t="shared" ref="F542:I542" si="185">+F$525/F522</f>
        <v>4.4796187970879018</v>
      </c>
      <c r="G542" s="454">
        <f t="shared" si="185"/>
        <v>4.5715508680614976</v>
      </c>
      <c r="H542" s="454">
        <f t="shared" si="185"/>
        <v>6.2604945021566216</v>
      </c>
      <c r="I542" s="454">
        <f t="shared" si="185"/>
        <v>4.1860711747663037</v>
      </c>
      <c r="J542" s="264"/>
      <c r="K542" s="185"/>
      <c r="L542" s="265"/>
      <c r="M542" s="454"/>
      <c r="N542" s="454"/>
      <c r="O542" s="454"/>
      <c r="P542" s="454"/>
      <c r="Q542" s="454"/>
      <c r="R542" s="152"/>
      <c r="S542" s="152"/>
      <c r="T542" s="152"/>
      <c r="U542" s="152"/>
      <c r="V542" s="152"/>
      <c r="W542" s="152"/>
      <c r="X542" s="152"/>
    </row>
    <row r="543" spans="1:24" outlineLevel="1" x14ac:dyDescent="0.3">
      <c r="A543" s="152"/>
      <c r="B543" s="152"/>
      <c r="C543" s="4" t="s">
        <v>366</v>
      </c>
      <c r="D543" s="152"/>
      <c r="E543" s="453" t="s">
        <v>205</v>
      </c>
      <c r="F543" s="454">
        <f t="shared" ref="F543:I543" si="186">+F$525/F523</f>
        <v>4.2304012900554566</v>
      </c>
      <c r="G543" s="454">
        <f t="shared" si="186"/>
        <v>4.1585833099710285</v>
      </c>
      <c r="H543" s="454">
        <f t="shared" si="186"/>
        <v>6.4191102044630011</v>
      </c>
      <c r="I543" s="454">
        <f t="shared" si="186"/>
        <v>4.106689691418274</v>
      </c>
      <c r="J543" s="264"/>
      <c r="K543" s="185"/>
      <c r="L543" s="265"/>
      <c r="M543" s="454"/>
      <c r="N543" s="454"/>
      <c r="O543" s="454"/>
      <c r="P543" s="454"/>
      <c r="Q543" s="454"/>
      <c r="R543" s="152"/>
      <c r="S543" s="152"/>
      <c r="T543" s="152"/>
      <c r="U543" s="152"/>
      <c r="V543" s="152"/>
      <c r="W543" s="152"/>
      <c r="X543" s="152"/>
    </row>
    <row r="544" spans="1:24" outlineLevel="1" x14ac:dyDescent="0.3">
      <c r="A544" s="152"/>
      <c r="B544" s="152"/>
      <c r="C544" s="4"/>
      <c r="D544" s="152"/>
      <c r="G544" s="2"/>
      <c r="H544" s="185"/>
      <c r="I544" s="185"/>
      <c r="J544" s="264"/>
      <c r="K544" s="185"/>
      <c r="L544" s="265"/>
      <c r="M544" s="2"/>
      <c r="N544" s="2"/>
      <c r="O544" s="185"/>
      <c r="P544" s="185"/>
      <c r="Q544" s="185"/>
      <c r="R544" s="152"/>
      <c r="S544" s="152"/>
      <c r="T544" s="152"/>
      <c r="U544" s="152"/>
      <c r="V544" s="152"/>
      <c r="W544" s="152"/>
      <c r="X544" s="152"/>
    </row>
    <row r="545" spans="1:24" outlineLevel="1" x14ac:dyDescent="0.3">
      <c r="A545" s="152"/>
      <c r="B545" s="152"/>
      <c r="C545" s="4" t="s">
        <v>192</v>
      </c>
      <c r="D545" s="152"/>
      <c r="E545" s="453" t="s">
        <v>205</v>
      </c>
      <c r="F545" s="454">
        <f>+F$526/F521</f>
        <v>1.9783344145573853</v>
      </c>
      <c r="G545" s="454">
        <f t="shared" ref="G545:I545" si="187">+G$526/G521</f>
        <v>2.0948002501673262</v>
      </c>
      <c r="H545" s="454">
        <f t="shared" si="187"/>
        <v>2.3744805937108757</v>
      </c>
      <c r="I545" s="454">
        <f t="shared" si="187"/>
        <v>2.1878163696768342</v>
      </c>
      <c r="J545" s="264"/>
      <c r="K545" s="185"/>
      <c r="L545" s="265"/>
      <c r="M545" s="454"/>
      <c r="N545" s="454"/>
      <c r="O545" s="454"/>
      <c r="P545" s="454"/>
      <c r="Q545" s="454"/>
      <c r="R545" s="152"/>
      <c r="S545" s="152"/>
      <c r="T545" s="152"/>
      <c r="U545" s="152"/>
      <c r="V545" s="152"/>
      <c r="W545" s="152"/>
      <c r="X545" s="152"/>
    </row>
    <row r="546" spans="1:24" outlineLevel="1" x14ac:dyDescent="0.3">
      <c r="A546" s="152"/>
      <c r="B546" s="152"/>
      <c r="C546" s="4" t="s">
        <v>367</v>
      </c>
      <c r="D546" s="152"/>
      <c r="E546" s="453" t="s">
        <v>205</v>
      </c>
      <c r="F546" s="454">
        <f t="shared" ref="F546:I546" si="188">+F$526/F522</f>
        <v>4.2573004280456388</v>
      </c>
      <c r="G546" s="454">
        <f t="shared" si="188"/>
        <v>4.3584106655708856</v>
      </c>
      <c r="H546" s="454">
        <f t="shared" si="188"/>
        <v>5.9622744669218228</v>
      </c>
      <c r="I546" s="454">
        <f t="shared" si="188"/>
        <v>3.9599081615918643</v>
      </c>
      <c r="J546" s="264"/>
      <c r="K546" s="185"/>
      <c r="L546" s="265"/>
      <c r="M546" s="454"/>
      <c r="N546" s="454"/>
      <c r="O546" s="454"/>
      <c r="P546" s="454"/>
      <c r="Q546" s="454"/>
      <c r="R546" s="152"/>
      <c r="S546" s="152"/>
      <c r="T546" s="152"/>
      <c r="U546" s="152"/>
      <c r="V546" s="152"/>
      <c r="W546" s="152"/>
      <c r="X546" s="152"/>
    </row>
    <row r="547" spans="1:24" outlineLevel="1" x14ac:dyDescent="0.3">
      <c r="A547" s="152"/>
      <c r="B547" s="152"/>
      <c r="C547" s="4" t="s">
        <v>368</v>
      </c>
      <c r="D547" s="152"/>
      <c r="E547" s="453" t="s">
        <v>205</v>
      </c>
      <c r="F547" s="454">
        <f t="shared" ref="F547:I547" si="189">+F$526/F523</f>
        <v>4.0204513014959815</v>
      </c>
      <c r="G547" s="454">
        <f t="shared" si="189"/>
        <v>3.9646969649773101</v>
      </c>
      <c r="H547" s="454">
        <f t="shared" si="189"/>
        <v>6.1133344752947121</v>
      </c>
      <c r="I547" s="454">
        <f t="shared" si="189"/>
        <v>3.8848154623362956</v>
      </c>
      <c r="J547" s="264"/>
      <c r="K547" s="185"/>
      <c r="L547" s="265"/>
      <c r="M547" s="454"/>
      <c r="N547" s="454"/>
      <c r="O547" s="454"/>
      <c r="P547" s="454"/>
      <c r="Q547" s="454"/>
      <c r="R547" s="152"/>
      <c r="S547" s="152"/>
      <c r="T547" s="152"/>
      <c r="U547" s="152"/>
      <c r="V547" s="152"/>
      <c r="W547" s="152"/>
      <c r="X547" s="152"/>
    </row>
    <row r="548" spans="1:24" outlineLevel="1" x14ac:dyDescent="0.3">
      <c r="A548" s="152"/>
      <c r="B548" s="152"/>
      <c r="C548" s="4"/>
      <c r="D548" s="152"/>
      <c r="G548" s="2"/>
      <c r="H548" s="185"/>
      <c r="I548" s="185"/>
      <c r="J548" s="264"/>
      <c r="K548" s="185"/>
      <c r="L548" s="265"/>
      <c r="M548" s="2"/>
      <c r="N548" s="2"/>
      <c r="O548" s="185"/>
      <c r="P548" s="185"/>
      <c r="Q548" s="185"/>
      <c r="R548" s="152"/>
      <c r="S548" s="152"/>
      <c r="T548" s="152"/>
      <c r="U548" s="152"/>
      <c r="V548" s="152"/>
      <c r="W548" s="152"/>
      <c r="X548" s="152"/>
    </row>
    <row r="549" spans="1:24" outlineLevel="1" x14ac:dyDescent="0.3">
      <c r="A549" s="152"/>
      <c r="B549" s="152"/>
      <c r="C549" s="4" t="s">
        <v>193</v>
      </c>
      <c r="D549" s="152"/>
      <c r="E549" s="453" t="s">
        <v>205</v>
      </c>
      <c r="F549" s="454">
        <f>-F521/F$302</f>
        <v>15.361307857025206</v>
      </c>
      <c r="G549" s="454">
        <f t="shared" ref="G549:I549" si="190">-G521/G$302</f>
        <v>20.538366197183105</v>
      </c>
      <c r="H549" s="454">
        <f t="shared" si="190"/>
        <v>17.586746090841391</v>
      </c>
      <c r="I549" s="454">
        <f t="shared" si="190"/>
        <v>22.212531866362539</v>
      </c>
      <c r="J549" s="264"/>
      <c r="K549" s="185"/>
      <c r="L549" s="265"/>
      <c r="M549" s="454"/>
      <c r="N549" s="454"/>
      <c r="O549" s="454"/>
      <c r="P549" s="454"/>
      <c r="Q549" s="454"/>
      <c r="R549" s="152"/>
      <c r="S549" s="152"/>
      <c r="T549" s="152"/>
      <c r="U549" s="152"/>
      <c r="V549" s="152"/>
      <c r="W549" s="152"/>
      <c r="X549" s="152"/>
    </row>
    <row r="550" spans="1:24" outlineLevel="1" x14ac:dyDescent="0.3">
      <c r="A550" s="152"/>
      <c r="B550" s="152"/>
      <c r="C550" s="4" t="s">
        <v>369</v>
      </c>
      <c r="D550" s="152"/>
      <c r="E550" s="453" t="s">
        <v>205</v>
      </c>
      <c r="F550" s="454">
        <f t="shared" ref="F550:I550" si="191">-F522/F$302</f>
        <v>7.1382803492011249</v>
      </c>
      <c r="G550" s="454">
        <f t="shared" si="191"/>
        <v>9.871436619718315</v>
      </c>
      <c r="H550" s="454">
        <f t="shared" si="191"/>
        <v>7.0039357515157867</v>
      </c>
      <c r="I550" s="454">
        <f t="shared" si="191"/>
        <v>12.272239366697976</v>
      </c>
      <c r="J550" s="264"/>
      <c r="K550" s="185"/>
      <c r="L550" s="265"/>
      <c r="M550" s="454"/>
      <c r="N550" s="454"/>
      <c r="O550" s="454"/>
      <c r="P550" s="454"/>
      <c r="Q550" s="454"/>
      <c r="R550" s="152"/>
      <c r="S550" s="152"/>
      <c r="T550" s="152"/>
      <c r="U550" s="152"/>
      <c r="V550" s="152"/>
      <c r="W550" s="152"/>
      <c r="X550" s="152"/>
    </row>
    <row r="551" spans="1:24" outlineLevel="1" x14ac:dyDescent="0.3">
      <c r="A551" s="152"/>
      <c r="B551" s="152"/>
      <c r="C551" s="4" t="s">
        <v>396</v>
      </c>
      <c r="D551" s="152"/>
      <c r="E551" s="453" t="s">
        <v>205</v>
      </c>
      <c r="F551" s="454">
        <f t="shared" ref="F551:I551" si="192">-F523/F$302</f>
        <v>7.5588041508812438</v>
      </c>
      <c r="G551" s="454">
        <f t="shared" si="192"/>
        <v>10.851718309859161</v>
      </c>
      <c r="H551" s="454">
        <f t="shared" si="192"/>
        <v>6.8308690564833441</v>
      </c>
      <c r="I551" s="454">
        <f t="shared" si="192"/>
        <v>12.509459278143032</v>
      </c>
      <c r="J551" s="264"/>
      <c r="K551" s="185"/>
      <c r="L551" s="265"/>
      <c r="M551" s="454"/>
      <c r="N551" s="454"/>
      <c r="O551" s="454"/>
      <c r="P551" s="454"/>
      <c r="Q551" s="454"/>
      <c r="R551" s="152"/>
      <c r="S551" s="152"/>
      <c r="T551" s="152"/>
      <c r="U551" s="152"/>
      <c r="V551" s="152"/>
      <c r="W551" s="152"/>
      <c r="X551" s="152"/>
    </row>
    <row r="552" spans="1:24" outlineLevel="1" x14ac:dyDescent="0.3">
      <c r="A552" s="152"/>
      <c r="B552" s="152"/>
      <c r="C552" s="148"/>
      <c r="D552" s="152"/>
      <c r="G552" s="2"/>
      <c r="H552" s="185"/>
      <c r="I552" s="185"/>
      <c r="J552" s="264"/>
      <c r="K552" s="185"/>
      <c r="L552" s="265"/>
      <c r="M552" s="2"/>
      <c r="N552" s="2"/>
      <c r="O552" s="185"/>
      <c r="P552" s="185"/>
      <c r="Q552" s="185"/>
      <c r="R552" s="152"/>
      <c r="S552" s="152"/>
      <c r="T552" s="152"/>
      <c r="U552" s="152"/>
      <c r="V552" s="152"/>
      <c r="W552" s="152"/>
      <c r="X552" s="152"/>
    </row>
    <row r="553" spans="1:24" outlineLevel="1" x14ac:dyDescent="0.3">
      <c r="A553" s="152"/>
      <c r="B553" s="152"/>
      <c r="C553" s="4" t="s">
        <v>194</v>
      </c>
      <c r="D553" s="58"/>
      <c r="E553" s="453" t="s">
        <v>205</v>
      </c>
      <c r="F553" s="454">
        <f>+F525/F527</f>
        <v>2.456390530298239</v>
      </c>
      <c r="G553" s="454">
        <f t="shared" ref="G553:I553" si="193">+G525/G527</f>
        <v>3.2253074240801403</v>
      </c>
      <c r="H553" s="454">
        <f t="shared" si="193"/>
        <v>2.8771165738375442</v>
      </c>
      <c r="I553" s="454">
        <f t="shared" si="193"/>
        <v>2.3815622511942673</v>
      </c>
      <c r="J553" s="460"/>
      <c r="K553" s="454"/>
      <c r="L553" s="461"/>
      <c r="M553" s="454"/>
      <c r="N553" s="454"/>
      <c r="O553" s="454"/>
      <c r="P553" s="454"/>
      <c r="Q553" s="454"/>
      <c r="R553" s="152"/>
      <c r="S553" s="152"/>
      <c r="T553" s="152"/>
      <c r="U553" s="152"/>
      <c r="V553" s="152"/>
      <c r="W553" s="152"/>
      <c r="X553" s="152"/>
    </row>
    <row r="554" spans="1:24" outlineLevel="1" x14ac:dyDescent="0.3">
      <c r="A554" s="152"/>
      <c r="B554" s="152"/>
      <c r="C554" s="4" t="s">
        <v>195</v>
      </c>
      <c r="D554" s="58"/>
      <c r="E554" s="453" t="s">
        <v>28</v>
      </c>
      <c r="F554" s="455">
        <f>+F525/F528</f>
        <v>0.71068084140546661</v>
      </c>
      <c r="G554" s="455">
        <f t="shared" ref="G554:I554" si="194">+G525/G528</f>
        <v>0.76333083024894866</v>
      </c>
      <c r="H554" s="455">
        <f t="shared" si="194"/>
        <v>0.74207636501107144</v>
      </c>
      <c r="I554" s="455">
        <f t="shared" si="194"/>
        <v>0.7042786955506054</v>
      </c>
      <c r="J554" s="462"/>
      <c r="K554" s="463"/>
      <c r="L554" s="464"/>
      <c r="M554" s="455"/>
      <c r="N554" s="455"/>
      <c r="O554" s="455"/>
      <c r="P554" s="455"/>
      <c r="Q554" s="455"/>
      <c r="R554" s="152"/>
      <c r="S554" s="152"/>
      <c r="T554" s="152"/>
      <c r="U554" s="152"/>
      <c r="V554" s="152"/>
      <c r="W554" s="152"/>
      <c r="X554" s="152"/>
    </row>
    <row r="555" spans="1:24" outlineLevel="1" x14ac:dyDescent="0.3">
      <c r="A555" s="152"/>
      <c r="B555" s="152"/>
      <c r="C555" s="4" t="s">
        <v>370</v>
      </c>
      <c r="D555" s="58"/>
      <c r="E555" s="453" t="s">
        <v>205</v>
      </c>
      <c r="F555" s="454">
        <f>+F526/F527</f>
        <v>2.3344826713568105</v>
      </c>
      <c r="G555" s="454">
        <f t="shared" ref="G555:I555" si="195">+G526/G527</f>
        <v>3.0749333612504692</v>
      </c>
      <c r="H555" s="454">
        <f t="shared" si="195"/>
        <v>2.740064491812892</v>
      </c>
      <c r="I555" s="454">
        <f t="shared" si="195"/>
        <v>2.2528923666401264</v>
      </c>
      <c r="J555" s="460"/>
      <c r="K555" s="454"/>
      <c r="L555" s="461"/>
      <c r="M555" s="454"/>
      <c r="N555" s="454"/>
      <c r="O555" s="454"/>
      <c r="P555" s="454"/>
      <c r="Q555" s="454"/>
      <c r="R555" s="152"/>
      <c r="S555" s="152"/>
      <c r="T555" s="152"/>
      <c r="U555" s="152"/>
      <c r="V555" s="152"/>
      <c r="W555" s="152"/>
      <c r="X555" s="152"/>
    </row>
    <row r="556" spans="1:24" outlineLevel="1" x14ac:dyDescent="0.3">
      <c r="A556" s="152"/>
      <c r="B556" s="152"/>
      <c r="C556" s="4" t="s">
        <v>371</v>
      </c>
      <c r="D556" s="58"/>
      <c r="E556" s="453" t="s">
        <v>28</v>
      </c>
      <c r="F556" s="455">
        <f>+F526/F529</f>
        <v>0.70010340476800348</v>
      </c>
      <c r="G556" s="455">
        <f t="shared" ref="G556:I556" si="196">+G526/G529</f>
        <v>0.75459721390557133</v>
      </c>
      <c r="H556" s="455">
        <f t="shared" si="196"/>
        <v>0.73262493141788643</v>
      </c>
      <c r="I556" s="455">
        <f t="shared" si="196"/>
        <v>0.69258128235183869</v>
      </c>
      <c r="J556" s="462"/>
      <c r="K556" s="463"/>
      <c r="L556" s="464"/>
      <c r="M556" s="455"/>
      <c r="N556" s="455"/>
      <c r="O556" s="455"/>
      <c r="P556" s="455"/>
      <c r="Q556" s="455"/>
      <c r="R556" s="152"/>
      <c r="S556" s="152"/>
      <c r="T556" s="152"/>
      <c r="U556" s="152"/>
      <c r="V556" s="152"/>
      <c r="W556" s="152"/>
      <c r="X556" s="152"/>
    </row>
    <row r="557" spans="1:24" outlineLevel="1" x14ac:dyDescent="0.3">
      <c r="A557" s="152"/>
      <c r="B557" s="152"/>
      <c r="C557" s="148"/>
      <c r="D557" s="148"/>
      <c r="E557" s="148"/>
      <c r="F557" s="148"/>
      <c r="G557" s="148"/>
      <c r="H557" s="148"/>
      <c r="I557" s="148"/>
      <c r="J557" s="465"/>
      <c r="K557" s="58"/>
      <c r="L557" s="466"/>
      <c r="M557" s="148"/>
      <c r="N557" s="148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</row>
    <row r="558" spans="1:24" outlineLevel="1" x14ac:dyDescent="0.3">
      <c r="A558" s="152"/>
      <c r="B558" s="152"/>
      <c r="C558" s="2" t="s">
        <v>372</v>
      </c>
      <c r="D558" s="148"/>
      <c r="E558" s="453" t="s">
        <v>205</v>
      </c>
      <c r="F558" s="453"/>
      <c r="G558" s="148"/>
      <c r="H558" s="148"/>
      <c r="I558" s="148"/>
      <c r="J558" s="460"/>
      <c r="K558" s="454"/>
      <c r="L558" s="461"/>
      <c r="M558" s="454"/>
      <c r="N558" s="454"/>
      <c r="O558" s="454"/>
      <c r="P558" s="454"/>
      <c r="Q558" s="454"/>
      <c r="R558" s="152"/>
      <c r="S558" s="152"/>
      <c r="T558" s="152"/>
      <c r="U558" s="152"/>
      <c r="V558" s="152"/>
      <c r="W558" s="152"/>
      <c r="X558" s="152"/>
    </row>
    <row r="559" spans="1:24" outlineLevel="1" x14ac:dyDescent="0.3">
      <c r="A559" s="152"/>
      <c r="B559" s="152"/>
      <c r="C559" s="148"/>
      <c r="D559" s="148"/>
      <c r="E559" s="148"/>
      <c r="F559" s="148"/>
      <c r="G559" s="148"/>
      <c r="H559" s="148"/>
      <c r="I559" s="148"/>
      <c r="J559" s="465"/>
      <c r="K559" s="58"/>
      <c r="L559" s="466"/>
      <c r="M559" s="148"/>
      <c r="N559" s="148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</row>
    <row r="560" spans="1:24" outlineLevel="1" x14ac:dyDescent="0.3">
      <c r="A560" s="152"/>
      <c r="B560" s="152"/>
      <c r="C560" s="148" t="s">
        <v>196</v>
      </c>
      <c r="D560" s="148"/>
      <c r="E560" s="174" t="s">
        <v>14</v>
      </c>
      <c r="F560" s="456"/>
      <c r="G560" s="148"/>
      <c r="H560" s="148"/>
      <c r="I560" s="148"/>
      <c r="J560" s="467"/>
      <c r="K560" s="468"/>
      <c r="L560" s="469"/>
      <c r="M560" s="218"/>
      <c r="N560" s="218"/>
      <c r="O560" s="241"/>
      <c r="P560" s="241"/>
      <c r="Q560" s="241"/>
      <c r="R560" s="152"/>
      <c r="S560" s="152"/>
      <c r="T560" s="152"/>
      <c r="U560" s="152"/>
      <c r="V560" s="152"/>
      <c r="W560" s="152"/>
      <c r="X560" s="152"/>
    </row>
    <row r="561" spans="1:24" outlineLevel="1" x14ac:dyDescent="0.3">
      <c r="A561" s="152"/>
      <c r="B561" s="152"/>
      <c r="C561" s="2" t="s">
        <v>395</v>
      </c>
      <c r="D561" s="148"/>
      <c r="E561" s="457" t="s">
        <v>28</v>
      </c>
      <c r="F561" s="457"/>
      <c r="G561" s="148"/>
      <c r="H561" s="148"/>
      <c r="I561" s="148"/>
      <c r="J561" s="462"/>
      <c r="K561" s="463"/>
      <c r="L561" s="464"/>
      <c r="M561" s="455"/>
      <c r="N561" s="455"/>
      <c r="O561" s="455"/>
      <c r="P561" s="455"/>
      <c r="Q561" s="455"/>
      <c r="R561" s="152"/>
      <c r="S561" s="152"/>
      <c r="T561" s="152"/>
      <c r="U561" s="152"/>
      <c r="V561" s="152"/>
      <c r="W561" s="152"/>
      <c r="X561" s="152"/>
    </row>
    <row r="562" spans="1:24" outlineLevel="1" x14ac:dyDescent="0.3">
      <c r="A562" s="152"/>
      <c r="B562" s="152"/>
      <c r="C562" s="148"/>
      <c r="D562" s="148"/>
      <c r="E562" s="148"/>
      <c r="F562" s="487"/>
      <c r="G562" s="487"/>
      <c r="H562" s="487"/>
      <c r="I562" s="487"/>
      <c r="J562" s="465"/>
      <c r="K562" s="58"/>
      <c r="L562" s="466"/>
      <c r="M562" s="148"/>
      <c r="N562" s="148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</row>
    <row r="563" spans="1:24" outlineLevel="1" x14ac:dyDescent="0.3">
      <c r="A563" s="152"/>
      <c r="B563" s="152"/>
      <c r="C563" s="205" t="s">
        <v>373</v>
      </c>
      <c r="D563" s="326"/>
      <c r="E563" s="326"/>
      <c r="F563" s="326"/>
      <c r="G563" s="326"/>
      <c r="H563" s="326"/>
      <c r="I563" s="326"/>
      <c r="J563" s="470"/>
      <c r="K563" s="326"/>
      <c r="L563" s="471"/>
      <c r="M563" s="326"/>
      <c r="N563" s="326"/>
      <c r="O563" s="326"/>
      <c r="P563" s="326"/>
      <c r="Q563" s="326"/>
      <c r="R563" s="152"/>
      <c r="S563" s="152"/>
      <c r="T563" s="152"/>
      <c r="U563" s="152"/>
      <c r="V563" s="152"/>
      <c r="W563" s="152"/>
      <c r="X563" s="152"/>
    </row>
    <row r="564" spans="1:24" outlineLevel="1" x14ac:dyDescent="0.3">
      <c r="A564" s="152"/>
      <c r="B564" s="152"/>
      <c r="C564" s="147" t="s">
        <v>190</v>
      </c>
      <c r="D564" s="148"/>
      <c r="E564" s="488" t="s">
        <v>14</v>
      </c>
      <c r="F564" s="483">
        <f>+F312</f>
        <v>186.51700000000005</v>
      </c>
      <c r="G564" s="483">
        <f>+G312</f>
        <v>182.27800000000005</v>
      </c>
      <c r="H564" s="483">
        <f>+H312</f>
        <v>165.33299999999991</v>
      </c>
      <c r="I564" s="483">
        <f>+I312</f>
        <v>165.55</v>
      </c>
      <c r="J564" s="472"/>
      <c r="K564" s="207"/>
      <c r="L564" s="473"/>
      <c r="M564" s="484"/>
      <c r="N564" s="484"/>
      <c r="O564" s="484"/>
      <c r="P564" s="484"/>
      <c r="Q564" s="484"/>
      <c r="R564" s="152"/>
      <c r="S564" s="152"/>
      <c r="T564" s="152"/>
      <c r="U564" s="152"/>
      <c r="V564" s="152"/>
      <c r="W564" s="152"/>
      <c r="X564" s="152"/>
    </row>
    <row r="565" spans="1:24" outlineLevel="1" x14ac:dyDescent="0.3">
      <c r="A565" s="152"/>
      <c r="B565" s="152"/>
      <c r="C565" s="149" t="s">
        <v>374</v>
      </c>
      <c r="D565" s="148"/>
      <c r="E565" s="488" t="s">
        <v>14</v>
      </c>
      <c r="F565" s="482">
        <f>+F424</f>
        <v>-99.843999999999994</v>
      </c>
      <c r="G565" s="482">
        <f>+G424</f>
        <v>-94.668999999999997</v>
      </c>
      <c r="H565" s="482">
        <f>+H424</f>
        <v>-99.489000000000004</v>
      </c>
      <c r="I565" s="482">
        <f>+I424</f>
        <v>-74.084999999999994</v>
      </c>
      <c r="J565" s="467"/>
      <c r="K565" s="468"/>
      <c r="L565" s="469"/>
      <c r="M565" s="218"/>
      <c r="N565" s="218"/>
      <c r="O565" s="218"/>
      <c r="P565" s="218"/>
      <c r="Q565" s="218"/>
      <c r="R565" s="152"/>
      <c r="S565" s="152"/>
      <c r="T565" s="152"/>
      <c r="U565" s="152"/>
      <c r="V565" s="152"/>
      <c r="W565" s="152"/>
      <c r="X565" s="152"/>
    </row>
    <row r="566" spans="1:24" outlineLevel="1" x14ac:dyDescent="0.3">
      <c r="A566" s="152"/>
      <c r="B566" s="152"/>
      <c r="C566" s="149" t="s">
        <v>375</v>
      </c>
      <c r="D566" s="148"/>
      <c r="E566" s="488" t="s">
        <v>14</v>
      </c>
      <c r="F566" s="482">
        <f>+F302</f>
        <v>-12.141999999999999</v>
      </c>
      <c r="G566" s="482">
        <f>+G302</f>
        <v>-8.875</v>
      </c>
      <c r="H566" s="482">
        <f>+H302</f>
        <v>-9.4009999999999998</v>
      </c>
      <c r="I566" s="482">
        <f>+I302</f>
        <v>-7.4530000000000003</v>
      </c>
      <c r="J566" s="474"/>
      <c r="K566" s="51"/>
      <c r="L566" s="475"/>
      <c r="M566" s="218"/>
      <c r="N566" s="218"/>
      <c r="O566" s="218"/>
      <c r="P566" s="218"/>
      <c r="Q566" s="218"/>
      <c r="R566" s="152"/>
      <c r="S566" s="152"/>
      <c r="T566" s="152"/>
      <c r="U566" s="152"/>
      <c r="V566" s="152"/>
      <c r="W566" s="152"/>
      <c r="X566" s="152"/>
    </row>
    <row r="567" spans="1:24" outlineLevel="1" x14ac:dyDescent="0.3">
      <c r="A567" s="152"/>
      <c r="B567" s="152"/>
      <c r="C567" s="149" t="s">
        <v>376</v>
      </c>
      <c r="D567" s="148"/>
      <c r="E567" s="488" t="s">
        <v>14</v>
      </c>
      <c r="F567" s="482">
        <f>-F305</f>
        <v>-38.725999999999999</v>
      </c>
      <c r="G567" s="482">
        <f>-G305</f>
        <v>-34.142000000000003</v>
      </c>
      <c r="H567" s="482">
        <f>-H305</f>
        <v>-26.079999999999899</v>
      </c>
      <c r="I567" s="482">
        <f>-I305</f>
        <v>-28.193999999999999</v>
      </c>
      <c r="J567" s="474"/>
      <c r="K567" s="51"/>
      <c r="L567" s="475"/>
      <c r="M567" s="218"/>
      <c r="N567" s="218"/>
      <c r="O567" s="218"/>
      <c r="P567" s="218"/>
      <c r="Q567" s="218"/>
      <c r="R567" s="152"/>
      <c r="S567" s="152"/>
      <c r="T567" s="152"/>
      <c r="U567" s="152"/>
      <c r="V567" s="152"/>
      <c r="W567" s="152"/>
      <c r="X567" s="152"/>
    </row>
    <row r="568" spans="1:24" outlineLevel="1" x14ac:dyDescent="0.3">
      <c r="A568" s="152"/>
      <c r="B568" s="152"/>
      <c r="C568" s="149" t="s">
        <v>377</v>
      </c>
      <c r="D568" s="148"/>
      <c r="E568" s="488" t="s">
        <v>14</v>
      </c>
      <c r="F568" s="482">
        <f>+F408</f>
        <v>7.3380000000000001</v>
      </c>
      <c r="G568" s="482">
        <f>+G408</f>
        <v>7.1849999999999996</v>
      </c>
      <c r="H568" s="482">
        <f>+H408</f>
        <v>7.468</v>
      </c>
      <c r="I568" s="482">
        <f>+I408</f>
        <v>8.4809999999999999</v>
      </c>
      <c r="J568" s="474"/>
      <c r="K568" s="51"/>
      <c r="L568" s="475"/>
      <c r="M568" s="218"/>
      <c r="N568" s="218"/>
      <c r="O568" s="218"/>
      <c r="P568" s="218"/>
      <c r="Q568" s="218"/>
      <c r="R568" s="152"/>
      <c r="S568" s="152"/>
      <c r="T568" s="152"/>
      <c r="U568" s="152"/>
      <c r="V568" s="152"/>
      <c r="W568" s="152"/>
      <c r="X568" s="152"/>
    </row>
    <row r="569" spans="1:24" outlineLevel="1" x14ac:dyDescent="0.3">
      <c r="A569" s="152"/>
      <c r="B569" s="152"/>
      <c r="C569" s="149" t="s">
        <v>378</v>
      </c>
      <c r="D569" s="148"/>
      <c r="E569" s="488" t="s">
        <v>14</v>
      </c>
      <c r="F569" s="482">
        <f>+F404+F405+F406+F407+F411</f>
        <v>8.7769999999999992</v>
      </c>
      <c r="G569" s="482">
        <f>+G404+G405+G406+G407+G411</f>
        <v>22.087000000000003</v>
      </c>
      <c r="H569" s="482">
        <f>+H404+H405+H406+H407+H411</f>
        <v>1.3989999999999996</v>
      </c>
      <c r="I569" s="482">
        <f>+I404+I405+I406+I407+I411</f>
        <v>-1.4879999999999998</v>
      </c>
      <c r="J569" s="474"/>
      <c r="K569" s="51"/>
      <c r="L569" s="475"/>
      <c r="M569" s="218"/>
      <c r="N569" s="218"/>
      <c r="O569" s="218"/>
      <c r="P569" s="218"/>
      <c r="Q569" s="218"/>
      <c r="R569" s="152"/>
      <c r="S569" s="152"/>
      <c r="T569" s="152"/>
      <c r="U569" s="152"/>
      <c r="V569" s="152"/>
      <c r="W569" s="152"/>
      <c r="X569" s="152"/>
    </row>
    <row r="570" spans="1:24" outlineLevel="1" x14ac:dyDescent="0.3">
      <c r="A570" s="152"/>
      <c r="B570" s="152"/>
      <c r="C570" s="149" t="s">
        <v>379</v>
      </c>
      <c r="D570" s="148"/>
      <c r="E570" s="488" t="s">
        <v>14</v>
      </c>
      <c r="F570" s="485">
        <f>SUM(F413:F420)</f>
        <v>5.1059999999999999</v>
      </c>
      <c r="G570" s="485">
        <f>SUM(G413:G420)</f>
        <v>8.7000000000000011</v>
      </c>
      <c r="H570" s="485">
        <f>SUM(H413:H420)</f>
        <v>-1.6270000000000009</v>
      </c>
      <c r="I570" s="485">
        <f>SUM(I413:I420)</f>
        <v>1.7680000000000002</v>
      </c>
      <c r="J570" s="474"/>
      <c r="K570" s="51"/>
      <c r="L570" s="475"/>
      <c r="M570" s="218"/>
      <c r="N570" s="218"/>
      <c r="O570" s="218"/>
      <c r="P570" s="218"/>
      <c r="Q570" s="218"/>
      <c r="R570" s="152"/>
      <c r="S570" s="152"/>
      <c r="T570" s="152"/>
      <c r="U570" s="152"/>
      <c r="V570" s="152"/>
      <c r="W570" s="152"/>
      <c r="X570" s="152"/>
    </row>
    <row r="571" spans="1:24" outlineLevel="1" x14ac:dyDescent="0.3">
      <c r="A571" s="152"/>
      <c r="B571" s="152"/>
      <c r="C571" s="8" t="s">
        <v>380</v>
      </c>
      <c r="D571" s="325"/>
      <c r="E571" s="489" t="s">
        <v>14</v>
      </c>
      <c r="F571" s="486">
        <f>SUM(F564:F570)</f>
        <v>57.026000000000067</v>
      </c>
      <c r="G571" s="486">
        <f t="shared" ref="G571:I571" si="197">SUM(G564:G570)</f>
        <v>82.564000000000064</v>
      </c>
      <c r="H571" s="486">
        <f t="shared" si="197"/>
        <v>37.603000000000016</v>
      </c>
      <c r="I571" s="486">
        <f t="shared" si="197"/>
        <v>64.579000000000008</v>
      </c>
      <c r="J571" s="476"/>
      <c r="K571" s="459"/>
      <c r="L571" s="477"/>
      <c r="M571" s="46"/>
      <c r="N571" s="46"/>
      <c r="O571" s="46"/>
      <c r="P571" s="46"/>
      <c r="Q571" s="46"/>
      <c r="R571" s="152"/>
      <c r="S571" s="152"/>
      <c r="T571" s="152"/>
      <c r="U571" s="152"/>
      <c r="V571" s="152"/>
      <c r="W571" s="152"/>
      <c r="X571" s="152"/>
    </row>
    <row r="572" spans="1:24" outlineLevel="1" x14ac:dyDescent="0.3">
      <c r="A572" s="152"/>
      <c r="B572" s="152"/>
      <c r="C572" s="452" t="s">
        <v>381</v>
      </c>
      <c r="D572" s="148"/>
      <c r="E572" s="457" t="s">
        <v>28</v>
      </c>
      <c r="F572" s="455">
        <f>+F571/F564</f>
        <v>0.30574156779274841</v>
      </c>
      <c r="G572" s="455">
        <f t="shared" ref="G572:I572" si="198">+G571/G564</f>
        <v>0.45295647307958198</v>
      </c>
      <c r="H572" s="455">
        <f t="shared" si="198"/>
        <v>0.22743795854427148</v>
      </c>
      <c r="I572" s="455">
        <f t="shared" si="198"/>
        <v>0.39008758683177291</v>
      </c>
      <c r="J572" s="462"/>
      <c r="K572" s="463"/>
      <c r="L572" s="464"/>
      <c r="M572" s="455"/>
      <c r="N572" s="455"/>
      <c r="O572" s="455"/>
      <c r="P572" s="455"/>
      <c r="Q572" s="455"/>
      <c r="R572" s="152"/>
      <c r="S572" s="152"/>
      <c r="T572" s="152"/>
      <c r="U572" s="152"/>
      <c r="V572" s="152"/>
      <c r="W572" s="152"/>
      <c r="X572" s="152"/>
    </row>
    <row r="573" spans="1:24" outlineLevel="1" x14ac:dyDescent="0.3">
      <c r="A573" s="152"/>
      <c r="B573" s="152"/>
      <c r="C573" s="452" t="s">
        <v>382</v>
      </c>
      <c r="D573" s="148"/>
      <c r="E573" s="457" t="s">
        <v>28</v>
      </c>
      <c r="F573" s="457"/>
      <c r="G573" s="148"/>
      <c r="H573" s="148"/>
      <c r="I573" s="148"/>
      <c r="J573" s="462"/>
      <c r="K573" s="463"/>
      <c r="L573" s="464"/>
      <c r="M573" s="455"/>
      <c r="N573" s="455"/>
      <c r="O573" s="455"/>
      <c r="P573" s="455"/>
      <c r="Q573" s="455"/>
      <c r="R573" s="152"/>
      <c r="S573" s="152"/>
      <c r="T573" s="152"/>
      <c r="U573" s="152"/>
      <c r="V573" s="152"/>
      <c r="W573" s="152"/>
      <c r="X573" s="152"/>
    </row>
    <row r="574" spans="1:24" x14ac:dyDescent="0.3">
      <c r="A574" s="152"/>
      <c r="B574" s="152"/>
      <c r="C574" s="152"/>
      <c r="D574" s="152"/>
      <c r="G574" s="2"/>
      <c r="H574" s="185"/>
      <c r="I574" s="185"/>
      <c r="J574" s="185"/>
      <c r="K574" s="185"/>
      <c r="L574" s="185"/>
      <c r="M574" s="185"/>
      <c r="N574" s="185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</row>
    <row r="575" spans="1:24" x14ac:dyDescent="0.3">
      <c r="A575" s="152"/>
      <c r="B575" s="171"/>
      <c r="C575" s="172"/>
      <c r="D575" s="172"/>
      <c r="E575" s="169"/>
      <c r="F575" s="157" t="str">
        <f>$F$131</f>
        <v>Historical</v>
      </c>
      <c r="G575" s="158"/>
      <c r="H575" s="159"/>
      <c r="I575" s="159"/>
      <c r="J575" s="165" t="str">
        <f>$J$131</f>
        <v>Transaction Adjustments</v>
      </c>
      <c r="K575" s="166"/>
      <c r="L575" s="167"/>
      <c r="M575" s="157" t="str">
        <f>$M$131</f>
        <v>Projected</v>
      </c>
      <c r="N575" s="158"/>
      <c r="O575" s="158"/>
      <c r="P575" s="158"/>
      <c r="Q575" s="159"/>
      <c r="R575" s="152"/>
      <c r="S575" s="152"/>
      <c r="T575" s="152"/>
      <c r="U575" s="152"/>
      <c r="V575" s="152"/>
      <c r="W575" s="152"/>
      <c r="X575" s="152"/>
    </row>
    <row r="576" spans="1:24" x14ac:dyDescent="0.3">
      <c r="A576" s="152"/>
      <c r="B576" s="173" t="s">
        <v>300</v>
      </c>
      <c r="C576" s="173"/>
      <c r="D576" s="173"/>
      <c r="E576" s="170" t="s">
        <v>0</v>
      </c>
      <c r="F576" s="160">
        <f>$F$132</f>
        <v>40543</v>
      </c>
      <c r="G576" s="161">
        <f>$G$132</f>
        <v>40908</v>
      </c>
      <c r="H576" s="161">
        <f>$H$132</f>
        <v>41274</v>
      </c>
      <c r="I576" s="162">
        <f>$I$132</f>
        <v>41639</v>
      </c>
      <c r="J576" s="164" t="str">
        <f>$J$132</f>
        <v xml:space="preserve">Debit </v>
      </c>
      <c r="K576" s="164" t="str">
        <f>$K$132</f>
        <v>Credit</v>
      </c>
      <c r="L576" s="168">
        <f>$L$132</f>
        <v>41639</v>
      </c>
      <c r="M576" s="160">
        <f>$M$132</f>
        <v>42004</v>
      </c>
      <c r="N576" s="161">
        <f>$N$132</f>
        <v>42369</v>
      </c>
      <c r="O576" s="161">
        <f>$O$132</f>
        <v>42735</v>
      </c>
      <c r="P576" s="160">
        <f>$P$132</f>
        <v>43100</v>
      </c>
      <c r="Q576" s="163">
        <f>$Q$132</f>
        <v>43465</v>
      </c>
      <c r="R576" s="152"/>
      <c r="S576" s="152"/>
      <c r="T576" s="152"/>
      <c r="U576" s="152"/>
      <c r="V576" s="152"/>
      <c r="W576" s="152"/>
      <c r="X576" s="152"/>
    </row>
    <row r="577" spans="1:24" outlineLevel="1" x14ac:dyDescent="0.3">
      <c r="A577" s="152"/>
      <c r="B577" s="152"/>
      <c r="C577" s="152"/>
      <c r="D577" s="152"/>
      <c r="G577" s="2"/>
      <c r="H577" s="185"/>
      <c r="I577" s="185"/>
      <c r="J577" s="185"/>
      <c r="K577" s="185"/>
      <c r="L577" s="185"/>
      <c r="M577" s="185"/>
      <c r="N577" s="185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</row>
    <row r="578" spans="1:24" outlineLevel="1" x14ac:dyDescent="0.3">
      <c r="A578" s="152"/>
      <c r="B578" s="152"/>
      <c r="C578" s="60" t="s">
        <v>199</v>
      </c>
      <c r="D578" s="152"/>
      <c r="E578" s="174" t="s">
        <v>205</v>
      </c>
      <c r="G578" s="2"/>
      <c r="H578" s="185"/>
      <c r="I578" s="185"/>
      <c r="J578" s="185"/>
      <c r="K578" s="185"/>
      <c r="L578" s="185"/>
      <c r="M578" s="320"/>
      <c r="N578" s="320"/>
      <c r="O578" s="320"/>
      <c r="P578" s="320"/>
      <c r="Q578" s="320"/>
      <c r="R578" s="152"/>
      <c r="S578" s="152"/>
      <c r="T578" s="152"/>
      <c r="U578" s="152"/>
      <c r="V578" s="152"/>
      <c r="W578" s="152"/>
      <c r="X578" s="152"/>
    </row>
    <row r="579" spans="1:24" outlineLevel="1" x14ac:dyDescent="0.3">
      <c r="A579" s="152"/>
      <c r="B579" s="152"/>
      <c r="C579" s="60" t="s">
        <v>190</v>
      </c>
      <c r="D579" s="222"/>
      <c r="E579" s="175" t="s">
        <v>14</v>
      </c>
      <c r="F579" s="4"/>
      <c r="G579" s="4"/>
      <c r="H579" s="223"/>
      <c r="I579" s="223"/>
      <c r="J579" s="223"/>
      <c r="K579" s="223"/>
      <c r="L579" s="426"/>
      <c r="M579" s="426"/>
      <c r="N579" s="426"/>
      <c r="O579" s="426"/>
      <c r="P579" s="426"/>
      <c r="Q579" s="426"/>
      <c r="R579" s="152"/>
      <c r="S579" s="152"/>
      <c r="T579" s="152"/>
      <c r="U579" s="152"/>
      <c r="V579" s="152"/>
      <c r="W579" s="152"/>
      <c r="X579" s="152"/>
    </row>
    <row r="580" spans="1:24" outlineLevel="1" x14ac:dyDescent="0.3">
      <c r="A580" s="152"/>
      <c r="B580" s="152"/>
      <c r="C580" s="60"/>
      <c r="D580" s="222"/>
      <c r="E580" s="175"/>
      <c r="F580" s="4"/>
      <c r="G580" s="4"/>
      <c r="H580" s="223"/>
      <c r="I580" s="223"/>
      <c r="J580" s="223"/>
      <c r="K580" s="223"/>
      <c r="L580" s="223"/>
      <c r="M580" s="426"/>
      <c r="N580" s="426"/>
      <c r="O580" s="426"/>
      <c r="P580" s="426"/>
      <c r="Q580" s="426"/>
      <c r="R580" s="152"/>
      <c r="S580" s="152"/>
      <c r="T580" s="152"/>
      <c r="U580" s="152"/>
      <c r="V580" s="152"/>
      <c r="W580" s="152"/>
      <c r="X580" s="152"/>
    </row>
    <row r="581" spans="1:24" outlineLevel="1" x14ac:dyDescent="0.3">
      <c r="A581" s="152"/>
      <c r="B581" s="152"/>
      <c r="C581" s="7" t="s">
        <v>200</v>
      </c>
      <c r="D581" s="152"/>
      <c r="E581" s="174" t="s">
        <v>14</v>
      </c>
      <c r="G581" s="2"/>
      <c r="H581" s="185"/>
      <c r="I581" s="185"/>
      <c r="J581" s="185"/>
      <c r="K581" s="185"/>
      <c r="L581" s="185"/>
      <c r="M581" s="38"/>
      <c r="N581" s="38"/>
      <c r="O581" s="38"/>
      <c r="P581" s="38"/>
      <c r="Q581" s="38"/>
      <c r="R581" s="152"/>
      <c r="S581" s="152"/>
      <c r="T581" s="152"/>
      <c r="U581" s="152"/>
      <c r="V581" s="152"/>
      <c r="W581" s="152"/>
      <c r="X581" s="152"/>
    </row>
    <row r="582" spans="1:24" outlineLevel="1" x14ac:dyDescent="0.3">
      <c r="A582" s="152"/>
      <c r="B582" s="152"/>
      <c r="C582" s="125" t="s">
        <v>201</v>
      </c>
      <c r="D582" s="244"/>
      <c r="E582" s="178" t="s">
        <v>14</v>
      </c>
      <c r="F582" s="5"/>
      <c r="G582" s="5"/>
      <c r="H582" s="301"/>
      <c r="I582" s="301"/>
      <c r="J582" s="301"/>
      <c r="K582" s="301"/>
      <c r="L582" s="301"/>
      <c r="M582" s="317"/>
      <c r="N582" s="317"/>
      <c r="O582" s="317"/>
      <c r="P582" s="317"/>
      <c r="Q582" s="317"/>
      <c r="R582" s="152"/>
      <c r="S582" s="152"/>
      <c r="T582" s="152"/>
      <c r="U582" s="152"/>
      <c r="V582" s="152"/>
      <c r="W582" s="152"/>
      <c r="X582" s="152"/>
    </row>
    <row r="583" spans="1:24" outlineLevel="1" x14ac:dyDescent="0.3">
      <c r="A583" s="152"/>
      <c r="B583" s="152"/>
      <c r="C583" s="59" t="s">
        <v>385</v>
      </c>
      <c r="D583" s="152"/>
      <c r="E583" s="174" t="s">
        <v>14</v>
      </c>
      <c r="G583" s="2"/>
      <c r="H583" s="185"/>
      <c r="I583" s="185"/>
      <c r="J583" s="185"/>
      <c r="K583" s="185"/>
      <c r="L583" s="185"/>
      <c r="M583" s="38"/>
      <c r="N583" s="38"/>
      <c r="O583" s="38"/>
      <c r="P583" s="38"/>
      <c r="Q583" s="38"/>
      <c r="R583" s="152"/>
      <c r="S583" s="152"/>
      <c r="T583" s="152"/>
      <c r="U583" s="152"/>
      <c r="V583" s="152"/>
      <c r="W583" s="152"/>
      <c r="X583" s="152"/>
    </row>
    <row r="584" spans="1:24" outlineLevel="1" x14ac:dyDescent="0.3">
      <c r="A584" s="152"/>
      <c r="B584" s="152"/>
      <c r="C584" s="224" t="s">
        <v>386</v>
      </c>
      <c r="D584" s="152"/>
      <c r="E584" s="174" t="s">
        <v>14</v>
      </c>
      <c r="G584" s="2"/>
      <c r="H584" s="185"/>
      <c r="I584" s="185"/>
      <c r="J584" s="185"/>
      <c r="K584" s="185"/>
      <c r="L584" s="185"/>
      <c r="M584" s="479"/>
      <c r="N584" s="479"/>
      <c r="O584" s="479"/>
      <c r="P584" s="479"/>
      <c r="Q584" s="479"/>
      <c r="R584" s="152"/>
      <c r="S584" s="152"/>
      <c r="T584" s="152"/>
      <c r="U584" s="152"/>
      <c r="V584" s="152"/>
      <c r="W584" s="152"/>
      <c r="X584" s="152"/>
    </row>
    <row r="585" spans="1:24" outlineLevel="1" x14ac:dyDescent="0.3">
      <c r="A585" s="152"/>
      <c r="B585" s="152"/>
      <c r="C585" s="152"/>
      <c r="D585" s="152"/>
      <c r="G585" s="2"/>
      <c r="H585" s="185"/>
      <c r="I585" s="185"/>
      <c r="J585" s="185"/>
      <c r="K585" s="185"/>
      <c r="L585" s="185"/>
      <c r="M585" s="185"/>
      <c r="N585" s="185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</row>
    <row r="586" spans="1:24" outlineLevel="1" x14ac:dyDescent="0.3">
      <c r="A586" s="152"/>
      <c r="B586" s="152"/>
      <c r="C586" s="59" t="s">
        <v>344</v>
      </c>
      <c r="D586" s="152"/>
      <c r="G586" s="2"/>
      <c r="H586" s="185"/>
      <c r="I586" s="185"/>
      <c r="J586" s="185"/>
      <c r="K586" s="185"/>
      <c r="L586" s="185"/>
      <c r="M586" s="185"/>
      <c r="N586" s="185"/>
      <c r="O586" s="152"/>
      <c r="P586" s="152"/>
      <c r="Q586" s="152"/>
      <c r="R586" s="152"/>
      <c r="S586" s="152"/>
      <c r="T586" s="152"/>
      <c r="U586" s="152"/>
      <c r="V586" s="152"/>
      <c r="W586" s="152"/>
      <c r="X586" s="152"/>
    </row>
    <row r="587" spans="1:24" outlineLevel="1" x14ac:dyDescent="0.3">
      <c r="A587" s="152"/>
      <c r="B587" s="152"/>
      <c r="C587" s="12" t="s">
        <v>187</v>
      </c>
      <c r="D587" s="152"/>
      <c r="G587" s="2"/>
      <c r="H587" s="185"/>
      <c r="I587" s="185"/>
      <c r="J587" s="185"/>
      <c r="K587" s="185"/>
      <c r="L587" s="185"/>
      <c r="M587" s="185"/>
      <c r="N587" s="185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</row>
    <row r="588" spans="1:24" outlineLevel="1" x14ac:dyDescent="0.3">
      <c r="A588" s="152"/>
      <c r="B588" s="152"/>
      <c r="C588" s="333" t="s">
        <v>202</v>
      </c>
      <c r="D588" s="152"/>
      <c r="E588" s="174" t="s">
        <v>14</v>
      </c>
      <c r="G588" s="2"/>
      <c r="H588" s="185"/>
      <c r="I588" s="185"/>
      <c r="J588" s="185"/>
      <c r="K588" s="185"/>
      <c r="L588" s="373"/>
      <c r="M588" s="152"/>
      <c r="N588" s="185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</row>
    <row r="589" spans="1:24" outlineLevel="1" x14ac:dyDescent="0.3">
      <c r="A589" s="152"/>
      <c r="B589" s="152"/>
      <c r="C589" s="333" t="s">
        <v>203</v>
      </c>
      <c r="D589" s="152"/>
      <c r="E589" s="174" t="s">
        <v>14</v>
      </c>
      <c r="G589" s="2"/>
      <c r="H589" s="185"/>
      <c r="I589" s="185"/>
      <c r="J589" s="185"/>
      <c r="K589" s="185"/>
      <c r="L589" s="185"/>
      <c r="M589" s="415"/>
      <c r="N589" s="415"/>
      <c r="O589" s="478"/>
      <c r="P589" s="478"/>
      <c r="Q589" s="478"/>
      <c r="R589" s="152"/>
      <c r="S589" s="152"/>
      <c r="T589" s="152"/>
      <c r="U589" s="152"/>
      <c r="V589" s="152"/>
      <c r="W589" s="152"/>
      <c r="X589" s="152"/>
    </row>
    <row r="590" spans="1:24" outlineLevel="1" x14ac:dyDescent="0.3">
      <c r="A590" s="152"/>
      <c r="B590" s="152"/>
      <c r="C590" s="334" t="s">
        <v>386</v>
      </c>
      <c r="D590" s="244"/>
      <c r="E590" s="178" t="s">
        <v>14</v>
      </c>
      <c r="F590" s="5"/>
      <c r="G590" s="5"/>
      <c r="H590" s="301"/>
      <c r="I590" s="301"/>
      <c r="J590" s="301"/>
      <c r="K590" s="301"/>
      <c r="L590" s="301"/>
      <c r="M590" s="291"/>
      <c r="N590" s="291"/>
      <c r="O590" s="291"/>
      <c r="P590" s="291"/>
      <c r="Q590" s="291"/>
      <c r="R590" s="152"/>
      <c r="S590" s="152"/>
      <c r="T590" s="152"/>
      <c r="U590" s="152"/>
      <c r="V590" s="152"/>
      <c r="W590" s="152"/>
      <c r="X590" s="152"/>
    </row>
    <row r="591" spans="1:24" outlineLevel="1" x14ac:dyDescent="0.3">
      <c r="A591" s="152"/>
      <c r="B591" s="152"/>
      <c r="C591" s="22" t="s">
        <v>204</v>
      </c>
      <c r="D591" s="152"/>
      <c r="E591" s="174" t="s">
        <v>14</v>
      </c>
      <c r="G591" s="2"/>
      <c r="H591" s="185"/>
      <c r="I591" s="185"/>
      <c r="J591" s="185"/>
      <c r="K591" s="185"/>
      <c r="L591" s="38"/>
      <c r="M591" s="38"/>
      <c r="N591" s="38"/>
      <c r="O591" s="38"/>
      <c r="P591" s="38"/>
      <c r="Q591" s="38"/>
      <c r="R591" s="152"/>
      <c r="S591" s="152"/>
      <c r="T591" s="152"/>
      <c r="U591" s="152"/>
      <c r="V591" s="152"/>
      <c r="W591" s="152"/>
      <c r="X591" s="152"/>
    </row>
    <row r="592" spans="1:24" outlineLevel="1" x14ac:dyDescent="0.3">
      <c r="A592" s="152"/>
      <c r="B592" s="152"/>
      <c r="C592" s="22"/>
      <c r="D592" s="152"/>
      <c r="E592" s="174"/>
      <c r="G592" s="2"/>
      <c r="H592" s="185"/>
      <c r="I592" s="185"/>
      <c r="J592" s="185"/>
      <c r="K592" s="185"/>
      <c r="L592" s="38"/>
      <c r="M592" s="38"/>
      <c r="N592" s="38"/>
      <c r="O592" s="38"/>
      <c r="P592" s="38"/>
      <c r="Q592" s="38"/>
      <c r="R592" s="152"/>
      <c r="S592" s="152"/>
      <c r="T592" s="152"/>
      <c r="U592" s="152"/>
      <c r="V592" s="152"/>
      <c r="W592" s="152"/>
      <c r="X592" s="152"/>
    </row>
    <row r="593" spans="1:24" outlineLevel="1" x14ac:dyDescent="0.3">
      <c r="A593" s="152"/>
      <c r="B593" s="152"/>
      <c r="C593" s="3" t="s">
        <v>387</v>
      </c>
      <c r="D593" s="152"/>
      <c r="E593" s="453" t="s">
        <v>205</v>
      </c>
      <c r="G593" s="2"/>
      <c r="H593" s="185"/>
      <c r="I593" s="185"/>
      <c r="J593" s="185"/>
      <c r="K593" s="185"/>
      <c r="L593" s="38"/>
      <c r="M593" s="481"/>
      <c r="N593" s="481"/>
      <c r="O593" s="481"/>
      <c r="P593" s="481"/>
      <c r="Q593" s="481"/>
      <c r="R593" s="152"/>
      <c r="S593" s="152"/>
      <c r="T593" s="152"/>
      <c r="U593" s="152"/>
      <c r="V593" s="152"/>
      <c r="W593" s="152"/>
      <c r="X593" s="152"/>
    </row>
    <row r="594" spans="1:24" outlineLevel="1" x14ac:dyDescent="0.3">
      <c r="A594" s="152"/>
      <c r="B594" s="152"/>
      <c r="C594" s="7" t="s">
        <v>388</v>
      </c>
      <c r="D594" s="152"/>
      <c r="E594" s="457" t="s">
        <v>28</v>
      </c>
      <c r="G594" s="2"/>
      <c r="H594" s="185"/>
      <c r="I594" s="185"/>
      <c r="J594" s="185"/>
      <c r="K594" s="185"/>
      <c r="L594" s="185"/>
      <c r="M594" s="151"/>
      <c r="N594" s="151"/>
      <c r="O594" s="151"/>
      <c r="P594" s="151"/>
      <c r="Q594" s="480"/>
      <c r="R594" s="152"/>
      <c r="S594" s="152"/>
      <c r="T594" s="152"/>
      <c r="U594" s="152"/>
      <c r="V594" s="152"/>
      <c r="W594" s="152"/>
      <c r="X594" s="152"/>
    </row>
    <row r="595" spans="1:24" outlineLevel="1" x14ac:dyDescent="0.3">
      <c r="A595" s="152"/>
      <c r="B595" s="152"/>
      <c r="C595" s="3" t="s">
        <v>404</v>
      </c>
      <c r="E595" s="457" t="s">
        <v>28</v>
      </c>
      <c r="G595" s="185"/>
      <c r="H595" s="185"/>
      <c r="I595" s="480"/>
      <c r="J595" s="185"/>
      <c r="K595" s="185"/>
      <c r="L595" s="185"/>
      <c r="M595" s="185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</row>
    <row r="596" spans="1:24" outlineLevel="1" x14ac:dyDescent="0.3">
      <c r="A596" s="152"/>
      <c r="B596" s="152"/>
      <c r="C596" s="152"/>
      <c r="G596" s="185"/>
      <c r="H596" s="185"/>
      <c r="I596" s="185"/>
      <c r="J596" s="185"/>
      <c r="K596" s="185"/>
      <c r="L596" s="185"/>
      <c r="M596" s="185"/>
      <c r="N596" s="152"/>
      <c r="O596" s="152"/>
      <c r="P596" s="152"/>
      <c r="Q596" s="152"/>
      <c r="R596" s="152"/>
      <c r="S596" s="152"/>
      <c r="T596" s="152"/>
      <c r="U596" s="152"/>
      <c r="V596" s="152"/>
      <c r="W596" s="152"/>
      <c r="X596" s="152"/>
    </row>
    <row r="597" spans="1:24" outlineLevel="1" x14ac:dyDescent="0.3">
      <c r="A597" s="152"/>
      <c r="B597" s="152"/>
      <c r="C597" s="220" t="s">
        <v>389</v>
      </c>
      <c r="D597" s="192"/>
      <c r="E597" s="192"/>
      <c r="F597" s="192"/>
      <c r="G597" s="192"/>
      <c r="H597" s="192" t="s">
        <v>390</v>
      </c>
      <c r="I597" s="192" t="s">
        <v>117</v>
      </c>
      <c r="J597" s="185"/>
      <c r="K597" s="185"/>
      <c r="L597" s="185"/>
      <c r="M597" s="185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/>
      <c r="X597" s="152"/>
    </row>
    <row r="598" spans="1:24" outlineLevel="1" x14ac:dyDescent="0.3">
      <c r="A598" s="152"/>
      <c r="B598" s="152"/>
      <c r="C598" s="60" t="s">
        <v>391</v>
      </c>
      <c r="D598" s="58"/>
      <c r="E598" s="174" t="s">
        <v>14</v>
      </c>
      <c r="F598" s="456"/>
      <c r="G598" s="58"/>
      <c r="H598" s="206"/>
      <c r="I598" s="358"/>
      <c r="J598" s="185"/>
      <c r="K598" s="319"/>
      <c r="L598" s="185"/>
      <c r="M598" s="185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</row>
    <row r="599" spans="1:24" outlineLevel="1" x14ac:dyDescent="0.3">
      <c r="A599" s="152"/>
      <c r="B599" s="152"/>
      <c r="C599" s="60" t="s">
        <v>392</v>
      </c>
      <c r="D599" s="58"/>
      <c r="E599" s="174" t="s">
        <v>14</v>
      </c>
      <c r="F599" s="456"/>
      <c r="G599" s="58"/>
      <c r="H599" s="51"/>
      <c r="I599" s="358"/>
      <c r="J599" s="185"/>
      <c r="K599" s="185"/>
      <c r="L599" s="185"/>
      <c r="M599" s="185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</row>
    <row r="600" spans="1:24" outlineLevel="1" x14ac:dyDescent="0.3">
      <c r="A600" s="152"/>
      <c r="B600" s="152"/>
      <c r="C600" s="60" t="s">
        <v>394</v>
      </c>
      <c r="D600" s="58"/>
      <c r="E600" s="178" t="s">
        <v>14</v>
      </c>
      <c r="F600" s="458"/>
      <c r="G600" s="58"/>
      <c r="H600" s="51"/>
      <c r="I600" s="358"/>
      <c r="J600" s="185"/>
      <c r="K600" s="185"/>
      <c r="L600" s="185"/>
      <c r="M600" s="185"/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</row>
    <row r="601" spans="1:24" outlineLevel="1" x14ac:dyDescent="0.3">
      <c r="A601" s="152"/>
      <c r="B601" s="152"/>
      <c r="C601" s="8" t="s">
        <v>393</v>
      </c>
      <c r="D601" s="325"/>
      <c r="E601" s="174" t="s">
        <v>14</v>
      </c>
      <c r="F601" s="456"/>
      <c r="G601" s="325"/>
      <c r="H601" s="46"/>
      <c r="I601" s="347"/>
      <c r="J601" s="185"/>
      <c r="K601" s="373"/>
      <c r="L601" s="185"/>
      <c r="M601" s="185"/>
      <c r="N601" s="152"/>
      <c r="O601" s="152"/>
      <c r="P601" s="152"/>
      <c r="Q601" s="152"/>
      <c r="R601" s="152"/>
      <c r="S601" s="152"/>
      <c r="T601" s="152"/>
      <c r="U601" s="152"/>
      <c r="V601" s="152"/>
      <c r="W601" s="152"/>
      <c r="X601" s="152"/>
    </row>
    <row r="602" spans="1:24" x14ac:dyDescent="0.3">
      <c r="A602" s="152"/>
      <c r="B602" s="152"/>
      <c r="C602" s="152"/>
      <c r="G602" s="185"/>
      <c r="H602" s="185"/>
      <c r="I602" s="185"/>
      <c r="J602" s="185"/>
      <c r="K602" s="185"/>
      <c r="L602" s="185"/>
      <c r="M602" s="185"/>
      <c r="N602" s="152"/>
      <c r="O602" s="152"/>
      <c r="P602" s="152"/>
      <c r="Q602" s="152"/>
      <c r="R602" s="152"/>
      <c r="S602" s="152"/>
      <c r="T602" s="152"/>
      <c r="U602" s="152"/>
      <c r="V602" s="152"/>
      <c r="W602" s="152"/>
      <c r="X602" s="152"/>
    </row>
    <row r="603" spans="1:24" x14ac:dyDescent="0.3">
      <c r="A603" s="152"/>
      <c r="B603" s="173" t="s">
        <v>426</v>
      </c>
      <c r="C603" s="173"/>
      <c r="D603" s="173"/>
      <c r="E603" s="173"/>
      <c r="F603" s="173"/>
      <c r="G603" s="173"/>
      <c r="H603" s="173"/>
      <c r="I603" s="173"/>
      <c r="J603" s="173"/>
      <c r="K603" s="173"/>
      <c r="L603" s="173"/>
      <c r="M603" s="173"/>
      <c r="N603" s="173"/>
      <c r="O603" s="173"/>
      <c r="P603" s="173"/>
      <c r="Q603" s="173"/>
      <c r="R603" s="152"/>
      <c r="S603" s="152"/>
      <c r="T603" s="152"/>
      <c r="U603" s="152"/>
      <c r="V603" s="152"/>
      <c r="W603" s="152"/>
      <c r="X603" s="152"/>
    </row>
    <row r="604" spans="1:24" outlineLevel="1" x14ac:dyDescent="0.3">
      <c r="A604" s="152"/>
      <c r="B604" s="152"/>
      <c r="C604" s="152"/>
      <c r="G604" s="185"/>
      <c r="H604" s="185"/>
      <c r="I604" s="185"/>
      <c r="J604" s="185"/>
      <c r="K604" s="185"/>
      <c r="L604" s="185"/>
      <c r="M604" s="185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</row>
    <row r="605" spans="1:24" outlineLevel="1" x14ac:dyDescent="0.3">
      <c r="A605" s="152"/>
      <c r="B605" s="3" t="s">
        <v>407</v>
      </c>
      <c r="C605" s="490"/>
      <c r="D605" s="490"/>
      <c r="E605" s="490"/>
      <c r="F605" s="490"/>
      <c r="G605" s="490"/>
      <c r="H605" s="490"/>
      <c r="I605" s="490"/>
      <c r="J605" s="490"/>
      <c r="K605" s="490"/>
      <c r="L605" s="490"/>
      <c r="M605"/>
      <c r="N605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</row>
    <row r="606" spans="1:24" outlineLevel="1" x14ac:dyDescent="0.3">
      <c r="A606" s="152"/>
      <c r="B606" s="490"/>
      <c r="C606" s="490"/>
      <c r="D606" s="490"/>
      <c r="E606" s="490"/>
      <c r="F606" s="490"/>
      <c r="G606" s="490"/>
      <c r="H606" s="490"/>
      <c r="I606" s="490"/>
      <c r="J606" s="490"/>
      <c r="K606" s="490"/>
      <c r="L606" s="490"/>
      <c r="M606"/>
      <c r="N606"/>
      <c r="O606" s="152"/>
      <c r="P606" s="152"/>
      <c r="Q606" s="152"/>
      <c r="R606" s="152"/>
      <c r="S606" s="152"/>
      <c r="T606" s="152"/>
      <c r="U606" s="152"/>
      <c r="V606" s="152"/>
      <c r="W606" s="152"/>
      <c r="X606" s="152"/>
    </row>
    <row r="607" spans="1:24" outlineLevel="1" x14ac:dyDescent="0.3">
      <c r="A607" s="152"/>
      <c r="B607"/>
      <c r="C607" s="491"/>
      <c r="D607" s="492"/>
      <c r="E607" s="492"/>
      <c r="F607" s="493" t="s">
        <v>199</v>
      </c>
      <c r="G607" s="493"/>
      <c r="H607" s="493"/>
      <c r="I607" s="493"/>
      <c r="J607" s="493"/>
      <c r="K607" s="493"/>
      <c r="L607" s="493"/>
      <c r="M607" s="493"/>
      <c r="N607" s="494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</row>
    <row r="608" spans="1:24" outlineLevel="1" x14ac:dyDescent="0.3">
      <c r="A608" s="152"/>
      <c r="B608"/>
      <c r="C608" s="495"/>
      <c r="D608" s="496"/>
      <c r="E608" s="497">
        <f>+$I$595</f>
        <v>0</v>
      </c>
      <c r="F608" s="498">
        <v>6</v>
      </c>
      <c r="G608" s="498">
        <f>+F608+0.5</f>
        <v>6.5</v>
      </c>
      <c r="H608" s="498">
        <f t="shared" ref="H608:I608" si="199">+G608+0.5</f>
        <v>7</v>
      </c>
      <c r="I608" s="498">
        <f t="shared" si="199"/>
        <v>7.5</v>
      </c>
      <c r="J608" s="498">
        <v>7.9061214980368453</v>
      </c>
      <c r="K608" s="498">
        <v>8.5</v>
      </c>
      <c r="L608" s="498">
        <f>+K608+0.5</f>
        <v>9</v>
      </c>
      <c r="M608" s="498">
        <f t="shared" ref="M608:N608" si="200">+L608+0.5</f>
        <v>9.5</v>
      </c>
      <c r="N608" s="499">
        <f t="shared" si="200"/>
        <v>10</v>
      </c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</row>
    <row r="609" spans="1:24" outlineLevel="1" x14ac:dyDescent="0.3">
      <c r="A609" s="152"/>
      <c r="B609"/>
      <c r="C609" s="613" t="s">
        <v>397</v>
      </c>
      <c r="D609" s="500">
        <f t="shared" ref="D609:D615" si="201">+Share_Price*(1+E609)</f>
        <v>47.674000000000007</v>
      </c>
      <c r="E609" s="501">
        <v>0.1</v>
      </c>
      <c r="F609" s="507"/>
      <c r="G609" s="508"/>
      <c r="H609" s="508"/>
      <c r="I609" s="508"/>
      <c r="J609" s="509"/>
      <c r="K609" s="508"/>
      <c r="L609" s="508"/>
      <c r="M609" s="508"/>
      <c r="N609" s="508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</row>
    <row r="610" spans="1:24" outlineLevel="1" x14ac:dyDescent="0.3">
      <c r="A610" s="152"/>
      <c r="B610"/>
      <c r="C610" s="613"/>
      <c r="D610" s="502">
        <f t="shared" si="201"/>
        <v>49.841000000000001</v>
      </c>
      <c r="E610" s="501">
        <f>+E609+5%</f>
        <v>0.15000000000000002</v>
      </c>
      <c r="F610" s="507"/>
      <c r="G610" s="508"/>
      <c r="H610" s="508"/>
      <c r="I610" s="508"/>
      <c r="J610" s="509"/>
      <c r="K610" s="508"/>
      <c r="L610" s="508"/>
      <c r="M610" s="508"/>
      <c r="N610" s="508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</row>
    <row r="611" spans="1:24" outlineLevel="1" x14ac:dyDescent="0.3">
      <c r="A611" s="152"/>
      <c r="B611"/>
      <c r="C611" s="613"/>
      <c r="D611" s="502">
        <f t="shared" si="201"/>
        <v>52.008000000000003</v>
      </c>
      <c r="E611" s="501">
        <f t="shared" ref="E611:E615" si="202">+E610+5%</f>
        <v>0.2</v>
      </c>
      <c r="F611" s="507"/>
      <c r="G611" s="508"/>
      <c r="H611" s="508"/>
      <c r="I611" s="508"/>
      <c r="J611" s="509"/>
      <c r="K611" s="508"/>
      <c r="L611" s="508"/>
      <c r="M611" s="508"/>
      <c r="N611" s="508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</row>
    <row r="612" spans="1:24" outlineLevel="1" x14ac:dyDescent="0.3">
      <c r="A612" s="152"/>
      <c r="B612"/>
      <c r="C612" s="613"/>
      <c r="D612" s="502">
        <f t="shared" si="201"/>
        <v>54</v>
      </c>
      <c r="E612" s="501">
        <v>0.24596215966774326</v>
      </c>
      <c r="F612" s="510"/>
      <c r="G612" s="509"/>
      <c r="H612" s="509"/>
      <c r="I612" s="509"/>
      <c r="J612" s="509"/>
      <c r="K612" s="509"/>
      <c r="L612" s="509"/>
      <c r="M612" s="509"/>
      <c r="N612" s="509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</row>
    <row r="613" spans="1:24" outlineLevel="1" x14ac:dyDescent="0.3">
      <c r="A613" s="152"/>
      <c r="B613"/>
      <c r="C613" s="613"/>
      <c r="D613" s="502">
        <f t="shared" si="201"/>
        <v>56.342000000000006</v>
      </c>
      <c r="E613" s="501">
        <v>0.3</v>
      </c>
      <c r="F613" s="507"/>
      <c r="G613" s="508"/>
      <c r="H613" s="508"/>
      <c r="I613" s="508"/>
      <c r="J613" s="509"/>
      <c r="K613" s="508"/>
      <c r="L613" s="508"/>
      <c r="M613" s="508"/>
      <c r="N613" s="508"/>
      <c r="O613" s="152"/>
      <c r="P613" s="152"/>
      <c r="Q613" s="152"/>
      <c r="R613" s="152"/>
      <c r="S613" s="152"/>
      <c r="T613" s="152"/>
      <c r="U613" s="152"/>
      <c r="V613" s="152"/>
      <c r="W613" s="152"/>
      <c r="X613" s="152"/>
    </row>
    <row r="614" spans="1:24" outlineLevel="1" x14ac:dyDescent="0.3">
      <c r="A614" s="152"/>
      <c r="B614"/>
      <c r="C614" s="613"/>
      <c r="D614" s="502">
        <f t="shared" si="201"/>
        <v>58.509000000000007</v>
      </c>
      <c r="E614" s="501">
        <f t="shared" si="202"/>
        <v>0.35</v>
      </c>
      <c r="F614" s="507"/>
      <c r="G614" s="508"/>
      <c r="H614" s="508"/>
      <c r="I614" s="508"/>
      <c r="J614" s="509"/>
      <c r="K614" s="508"/>
      <c r="L614" s="508"/>
      <c r="M614" s="508"/>
      <c r="N614" s="508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</row>
    <row r="615" spans="1:24" outlineLevel="1" x14ac:dyDescent="0.3">
      <c r="A615" s="152"/>
      <c r="B615"/>
      <c r="C615" s="616"/>
      <c r="D615" s="503">
        <f t="shared" si="201"/>
        <v>60.676000000000002</v>
      </c>
      <c r="E615" s="504">
        <f t="shared" si="202"/>
        <v>0.39999999999999997</v>
      </c>
      <c r="F615" s="507"/>
      <c r="G615" s="508"/>
      <c r="H615" s="508"/>
      <c r="I615" s="508"/>
      <c r="J615" s="509"/>
      <c r="K615" s="508"/>
      <c r="L615" s="508"/>
      <c r="M615" s="508"/>
      <c r="N615" s="508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</row>
    <row r="616" spans="1:24" outlineLevel="1" x14ac:dyDescent="0.3">
      <c r="A616" s="152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</row>
    <row r="617" spans="1:24" outlineLevel="1" x14ac:dyDescent="0.3">
      <c r="A617" s="152"/>
      <c r="B617" s="3" t="s">
        <v>406</v>
      </c>
      <c r="C617"/>
      <c r="D617"/>
      <c r="E617"/>
      <c r="F617"/>
      <c r="G617"/>
      <c r="H617"/>
      <c r="I617"/>
      <c r="J617"/>
      <c r="K617"/>
      <c r="L617"/>
      <c r="M617"/>
      <c r="N617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</row>
    <row r="618" spans="1:24" outlineLevel="1" x14ac:dyDescent="0.3">
      <c r="A618" s="152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</row>
    <row r="619" spans="1:24" outlineLevel="1" x14ac:dyDescent="0.3">
      <c r="A619" s="152"/>
      <c r="B619"/>
      <c r="C619" s="491"/>
      <c r="D619" s="492"/>
      <c r="E619" s="492"/>
      <c r="F619" s="493" t="s">
        <v>398</v>
      </c>
      <c r="G619" s="493"/>
      <c r="H619" s="493"/>
      <c r="I619" s="493"/>
      <c r="J619" s="493"/>
      <c r="K619" s="493"/>
      <c r="L619" s="493"/>
      <c r="M619" s="493"/>
      <c r="N619" s="494"/>
      <c r="O619" s="152"/>
      <c r="P619" s="152"/>
      <c r="Q619" s="152"/>
    </row>
    <row r="620" spans="1:24" outlineLevel="1" x14ac:dyDescent="0.3">
      <c r="B620"/>
      <c r="C620" s="495"/>
      <c r="D620" s="496"/>
      <c r="E620" s="497">
        <f>+$I$595</f>
        <v>0</v>
      </c>
      <c r="F620" s="505">
        <v>0.55000000000000004</v>
      </c>
      <c r="G620" s="505">
        <f>+F620+5%</f>
        <v>0.60000000000000009</v>
      </c>
      <c r="H620" s="505">
        <f t="shared" ref="H620:I620" si="203">+G620+5%</f>
        <v>0.65000000000000013</v>
      </c>
      <c r="I620" s="505">
        <f t="shared" si="203"/>
        <v>0.70000000000000018</v>
      </c>
      <c r="J620" s="505">
        <v>0.74</v>
      </c>
      <c r="K620" s="505">
        <v>0.8</v>
      </c>
      <c r="L620" s="505">
        <f>+K620+5%</f>
        <v>0.85000000000000009</v>
      </c>
      <c r="M620" s="505">
        <f t="shared" ref="M620:N620" si="204">+L620+5%</f>
        <v>0.90000000000000013</v>
      </c>
      <c r="N620" s="506">
        <f t="shared" si="204"/>
        <v>0.95000000000000018</v>
      </c>
    </row>
    <row r="621" spans="1:24" outlineLevel="1" x14ac:dyDescent="0.3">
      <c r="B621"/>
      <c r="C621" s="613" t="str">
        <f>+C609</f>
        <v>Purchase Premium and Per Share Offer Price in USD:</v>
      </c>
      <c r="D621" s="500">
        <f>+D609</f>
        <v>47.674000000000007</v>
      </c>
      <c r="E621" s="501">
        <f>+E609</f>
        <v>0.1</v>
      </c>
      <c r="F621" s="507"/>
      <c r="G621" s="508"/>
      <c r="H621" s="508"/>
      <c r="I621" s="508"/>
      <c r="J621" s="509"/>
      <c r="K621" s="508"/>
      <c r="L621" s="508"/>
      <c r="M621" s="508"/>
      <c r="N621" s="508"/>
    </row>
    <row r="622" spans="1:24" outlineLevel="1" x14ac:dyDescent="0.3">
      <c r="B622"/>
      <c r="C622" s="617"/>
      <c r="D622" s="502">
        <f t="shared" ref="D622:E627" si="205">+D610</f>
        <v>49.841000000000001</v>
      </c>
      <c r="E622" s="501">
        <f t="shared" si="205"/>
        <v>0.15000000000000002</v>
      </c>
      <c r="F622" s="507"/>
      <c r="G622" s="508"/>
      <c r="H622" s="508"/>
      <c r="I622" s="508"/>
      <c r="J622" s="509"/>
      <c r="K622" s="508"/>
      <c r="L622" s="508"/>
      <c r="M622" s="508"/>
      <c r="N622" s="508"/>
    </row>
    <row r="623" spans="1:24" outlineLevel="1" x14ac:dyDescent="0.3">
      <c r="B623"/>
      <c r="C623" s="617"/>
      <c r="D623" s="502">
        <f t="shared" si="205"/>
        <v>52.008000000000003</v>
      </c>
      <c r="E623" s="501">
        <f t="shared" si="205"/>
        <v>0.2</v>
      </c>
      <c r="F623" s="507"/>
      <c r="G623" s="508"/>
      <c r="H623" s="508"/>
      <c r="I623" s="508"/>
      <c r="J623" s="509"/>
      <c r="K623" s="508"/>
      <c r="L623" s="508"/>
      <c r="M623" s="508"/>
      <c r="N623" s="508"/>
    </row>
    <row r="624" spans="1:24" outlineLevel="1" x14ac:dyDescent="0.3">
      <c r="B624"/>
      <c r="C624" s="617"/>
      <c r="D624" s="502">
        <f t="shared" si="205"/>
        <v>54</v>
      </c>
      <c r="E624" s="501">
        <f t="shared" si="205"/>
        <v>0.24596215966774326</v>
      </c>
      <c r="F624" s="510"/>
      <c r="G624" s="509"/>
      <c r="H624" s="509"/>
      <c r="I624" s="509"/>
      <c r="J624" s="509"/>
      <c r="K624" s="509"/>
      <c r="L624" s="509"/>
      <c r="M624" s="509"/>
      <c r="N624" s="509"/>
    </row>
    <row r="625" spans="1:15" outlineLevel="1" x14ac:dyDescent="0.3">
      <c r="B625"/>
      <c r="C625" s="617"/>
      <c r="D625" s="502">
        <f t="shared" si="205"/>
        <v>56.342000000000006</v>
      </c>
      <c r="E625" s="501">
        <f t="shared" si="205"/>
        <v>0.3</v>
      </c>
      <c r="F625" s="507"/>
      <c r="G625" s="508"/>
      <c r="H625" s="508"/>
      <c r="I625" s="508"/>
      <c r="J625" s="509"/>
      <c r="K625" s="508"/>
      <c r="L625" s="508"/>
      <c r="M625" s="508"/>
      <c r="N625" s="508"/>
    </row>
    <row r="626" spans="1:15" outlineLevel="1" x14ac:dyDescent="0.3">
      <c r="B626"/>
      <c r="C626" s="617"/>
      <c r="D626" s="502">
        <f t="shared" si="205"/>
        <v>58.509000000000007</v>
      </c>
      <c r="E626" s="501">
        <f t="shared" si="205"/>
        <v>0.35</v>
      </c>
      <c r="F626" s="507"/>
      <c r="G626" s="508"/>
      <c r="H626" s="508"/>
      <c r="I626" s="508"/>
      <c r="J626" s="509"/>
      <c r="K626" s="508"/>
      <c r="L626" s="508"/>
      <c r="M626" s="508"/>
      <c r="N626" s="508"/>
    </row>
    <row r="627" spans="1:15" outlineLevel="1" x14ac:dyDescent="0.3">
      <c r="B627"/>
      <c r="C627" s="618"/>
      <c r="D627" s="503">
        <f t="shared" si="205"/>
        <v>60.676000000000002</v>
      </c>
      <c r="E627" s="504">
        <f t="shared" si="205"/>
        <v>0.39999999999999997</v>
      </c>
      <c r="F627" s="507"/>
      <c r="G627" s="508"/>
      <c r="H627" s="508"/>
      <c r="I627" s="508"/>
      <c r="J627" s="509"/>
      <c r="K627" s="508"/>
      <c r="L627" s="508"/>
      <c r="M627" s="508"/>
      <c r="N627" s="508"/>
    </row>
    <row r="628" spans="1:15" outlineLevel="1" x14ac:dyDescent="0.3"/>
    <row r="629" spans="1:15" outlineLevel="1" x14ac:dyDescent="0.3">
      <c r="B629" s="3" t="s">
        <v>403</v>
      </c>
      <c r="C629" s="490"/>
      <c r="D629" s="490"/>
      <c r="E629" s="490"/>
      <c r="F629" s="490"/>
      <c r="G629" s="490"/>
      <c r="H629" s="490"/>
      <c r="I629" s="490"/>
      <c r="J629" s="490"/>
      <c r="K629" s="490"/>
      <c r="L629" s="490"/>
      <c r="M629"/>
      <c r="N629"/>
    </row>
    <row r="630" spans="1:15" outlineLevel="1" x14ac:dyDescent="0.3">
      <c r="B630" s="490"/>
      <c r="C630" s="490"/>
      <c r="D630" s="490"/>
      <c r="E630" s="490"/>
      <c r="F630" s="490"/>
      <c r="G630" s="490"/>
      <c r="H630" s="490"/>
      <c r="I630" s="490"/>
      <c r="J630" s="490"/>
      <c r="K630" s="490"/>
      <c r="L630" s="490"/>
      <c r="M630"/>
      <c r="N630"/>
    </row>
    <row r="631" spans="1:15" outlineLevel="1" x14ac:dyDescent="0.3">
      <c r="B631"/>
      <c r="C631" s="491"/>
      <c r="D631" s="492"/>
      <c r="E631" s="492"/>
      <c r="F631" s="493" t="s">
        <v>199</v>
      </c>
      <c r="G631" s="493"/>
      <c r="H631" s="493"/>
      <c r="I631" s="493"/>
      <c r="J631" s="493"/>
      <c r="K631" s="493"/>
      <c r="L631" s="493"/>
      <c r="M631" s="493"/>
      <c r="N631" s="494"/>
    </row>
    <row r="632" spans="1:15" outlineLevel="1" x14ac:dyDescent="0.3">
      <c r="B632"/>
      <c r="C632" s="495"/>
      <c r="D632" s="496"/>
      <c r="E632" s="497">
        <f>+$I$595</f>
        <v>0</v>
      </c>
      <c r="F632" s="498">
        <f>+F608</f>
        <v>6</v>
      </c>
      <c r="G632" s="498">
        <f t="shared" ref="G632:N632" si="206">+G608</f>
        <v>6.5</v>
      </c>
      <c r="H632" s="498">
        <f t="shared" si="206"/>
        <v>7</v>
      </c>
      <c r="I632" s="498">
        <f t="shared" si="206"/>
        <v>7.5</v>
      </c>
      <c r="J632" s="498">
        <f t="shared" si="206"/>
        <v>7.9061214980368453</v>
      </c>
      <c r="K632" s="498">
        <f t="shared" si="206"/>
        <v>8.5</v>
      </c>
      <c r="L632" s="498">
        <f t="shared" si="206"/>
        <v>9</v>
      </c>
      <c r="M632" s="498">
        <f t="shared" si="206"/>
        <v>9.5</v>
      </c>
      <c r="N632" s="499">
        <f t="shared" si="206"/>
        <v>10</v>
      </c>
    </row>
    <row r="633" spans="1:15" outlineLevel="1" x14ac:dyDescent="0.3">
      <c r="B633"/>
      <c r="C633" s="613" t="s">
        <v>402</v>
      </c>
      <c r="D633" s="514" t="str">
        <f t="shared" ref="D633:D636" si="207">"FY "&amp;YEAR(E633)</f>
        <v>FY 2014</v>
      </c>
      <c r="E633" s="513">
        <f t="shared" ref="E633:E635" si="208">DATE(YEAR(E634)-1,MONTH(E634),DAY(E634))</f>
        <v>42004</v>
      </c>
      <c r="F633" s="507"/>
      <c r="G633" s="508"/>
      <c r="H633" s="508"/>
      <c r="I633" s="508"/>
      <c r="J633" s="509"/>
      <c r="K633" s="508"/>
      <c r="L633" s="508"/>
      <c r="M633" s="508"/>
      <c r="N633" s="508"/>
    </row>
    <row r="634" spans="1:15" outlineLevel="1" x14ac:dyDescent="0.3">
      <c r="B634"/>
      <c r="C634" s="617"/>
      <c r="D634" s="514" t="str">
        <f t="shared" si="207"/>
        <v>FY 2015</v>
      </c>
      <c r="E634" s="513">
        <f t="shared" si="208"/>
        <v>42369</v>
      </c>
      <c r="F634" s="515"/>
      <c r="G634" s="516"/>
      <c r="H634" s="516"/>
      <c r="I634" s="516"/>
      <c r="J634" s="509"/>
      <c r="K634" s="516"/>
      <c r="L634" s="516"/>
      <c r="M634" s="516"/>
      <c r="N634" s="516"/>
    </row>
    <row r="635" spans="1:15" outlineLevel="1" x14ac:dyDescent="0.3">
      <c r="B635"/>
      <c r="C635" s="617"/>
      <c r="D635" s="514" t="str">
        <f t="shared" si="207"/>
        <v>FY 2016</v>
      </c>
      <c r="E635" s="513">
        <f t="shared" si="208"/>
        <v>42735</v>
      </c>
      <c r="F635" s="507"/>
      <c r="G635" s="508"/>
      <c r="H635" s="508"/>
      <c r="I635" s="508"/>
      <c r="J635" s="509"/>
      <c r="K635" s="508"/>
      <c r="L635" s="508"/>
      <c r="M635" s="508"/>
      <c r="N635" s="508"/>
    </row>
    <row r="636" spans="1:15" outlineLevel="1" x14ac:dyDescent="0.3">
      <c r="B636"/>
      <c r="C636" s="617"/>
      <c r="D636" s="514" t="str">
        <f t="shared" si="207"/>
        <v>FY 2017</v>
      </c>
      <c r="E636" s="513">
        <f>DATE(YEAR(E637)-1,MONTH(E637),DAY(E637))</f>
        <v>43100</v>
      </c>
      <c r="F636" s="507"/>
      <c r="G636" s="508"/>
      <c r="H636" s="508"/>
      <c r="I636" s="508"/>
      <c r="J636" s="509"/>
      <c r="K636" s="508"/>
      <c r="L636" s="508"/>
      <c r="M636" s="508"/>
      <c r="N636" s="508"/>
    </row>
    <row r="637" spans="1:15" outlineLevel="1" x14ac:dyDescent="0.3">
      <c r="B637"/>
      <c r="C637" s="618"/>
      <c r="D637" s="512" t="str">
        <f>"FY "&amp;YEAR(E637)</f>
        <v>FY 2018</v>
      </c>
      <c r="E637" s="511">
        <v>43465</v>
      </c>
      <c r="F637" s="510"/>
      <c r="G637" s="509"/>
      <c r="H637" s="509"/>
      <c r="I637" s="509"/>
      <c r="J637" s="509"/>
      <c r="K637" s="509"/>
      <c r="L637" s="509"/>
      <c r="M637" s="509"/>
      <c r="N637" s="509"/>
    </row>
    <row r="638" spans="1:15" outlineLevel="1" x14ac:dyDescent="0.3">
      <c r="A638" s="152"/>
      <c r="B638" s="152"/>
      <c r="C638" s="152"/>
      <c r="G638" s="185"/>
      <c r="H638" s="185"/>
      <c r="I638" s="185"/>
      <c r="J638" s="185"/>
      <c r="K638" s="185"/>
      <c r="L638" s="185"/>
      <c r="M638" s="185"/>
      <c r="N638" s="152"/>
      <c r="O638" s="152"/>
    </row>
    <row r="639" spans="1:15" outlineLevel="1" x14ac:dyDescent="0.3">
      <c r="A639" s="152"/>
      <c r="B639" s="3" t="s">
        <v>425</v>
      </c>
      <c r="C639" s="148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52"/>
    </row>
    <row r="640" spans="1:15" outlineLevel="1" x14ac:dyDescent="0.3">
      <c r="A640" s="152"/>
      <c r="B640" s="148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52"/>
    </row>
    <row r="641" spans="1:15" outlineLevel="1" x14ac:dyDescent="0.3">
      <c r="A641" s="152"/>
      <c r="B641" s="148"/>
      <c r="C641" s="491"/>
      <c r="D641" s="517"/>
      <c r="E641" s="517"/>
      <c r="F641" s="518" t="s">
        <v>416</v>
      </c>
      <c r="G641" s="518"/>
      <c r="H641" s="518"/>
      <c r="I641" s="518"/>
      <c r="J641" s="518"/>
      <c r="K641" s="518"/>
      <c r="L641" s="518"/>
      <c r="M641" s="518"/>
      <c r="N641" s="519"/>
      <c r="O641" s="152"/>
    </row>
    <row r="642" spans="1:15" outlineLevel="1" x14ac:dyDescent="0.3">
      <c r="A642" s="152"/>
      <c r="B642" s="148"/>
      <c r="C642" s="495"/>
      <c r="D642" s="520" t="s">
        <v>405</v>
      </c>
      <c r="E642" s="521"/>
      <c r="F642" s="522">
        <v>-0.04</v>
      </c>
      <c r="G642" s="522">
        <f>+F642+1%</f>
        <v>-0.03</v>
      </c>
      <c r="H642" s="522">
        <f t="shared" ref="H642:N642" si="209">+G642+1%</f>
        <v>-1.9999999999999997E-2</v>
      </c>
      <c r="I642" s="522">
        <f t="shared" si="209"/>
        <v>-9.9999999999999967E-3</v>
      </c>
      <c r="J642" s="522">
        <f t="shared" si="209"/>
        <v>0</v>
      </c>
      <c r="K642" s="522">
        <f t="shared" si="209"/>
        <v>0.01</v>
      </c>
      <c r="L642" s="522">
        <f t="shared" si="209"/>
        <v>0.02</v>
      </c>
      <c r="M642" s="522">
        <f t="shared" si="209"/>
        <v>0.03</v>
      </c>
      <c r="N642" s="523">
        <f t="shared" si="209"/>
        <v>0.04</v>
      </c>
      <c r="O642" s="152"/>
    </row>
    <row r="643" spans="1:15" outlineLevel="1" x14ac:dyDescent="0.3">
      <c r="A643" s="152"/>
      <c r="B643" s="148"/>
      <c r="C643" s="495"/>
      <c r="D643" s="520" t="s">
        <v>408</v>
      </c>
      <c r="E643" s="521">
        <f>+$Q$143</f>
        <v>572</v>
      </c>
      <c r="F643" s="524"/>
      <c r="G643" s="524"/>
      <c r="H643" s="524"/>
      <c r="I643" s="524"/>
      <c r="J643" s="524"/>
      <c r="K643" s="524"/>
      <c r="L643" s="524"/>
      <c r="M643" s="524"/>
      <c r="N643" s="525"/>
      <c r="O643" s="152"/>
    </row>
    <row r="644" spans="1:15" hidden="1" outlineLevel="2" x14ac:dyDescent="0.3">
      <c r="A644" s="152"/>
      <c r="B644" s="148"/>
      <c r="C644" s="495"/>
      <c r="D644" s="526"/>
      <c r="E644" s="527">
        <f>+$I$595</f>
        <v>0</v>
      </c>
      <c r="F644" s="528">
        <f>+F642</f>
        <v>-0.04</v>
      </c>
      <c r="G644" s="528">
        <f t="shared" ref="G644:N644" si="210">+G642</f>
        <v>-0.03</v>
      </c>
      <c r="H644" s="528">
        <f t="shared" si="210"/>
        <v>-1.9999999999999997E-2</v>
      </c>
      <c r="I644" s="528">
        <f t="shared" si="210"/>
        <v>-9.9999999999999967E-3</v>
      </c>
      <c r="J644" s="528">
        <f t="shared" si="210"/>
        <v>0</v>
      </c>
      <c r="K644" s="528">
        <f t="shared" si="210"/>
        <v>0.01</v>
      </c>
      <c r="L644" s="528">
        <f t="shared" si="210"/>
        <v>0.02</v>
      </c>
      <c r="M644" s="528">
        <f t="shared" si="210"/>
        <v>0.03</v>
      </c>
      <c r="N644" s="529">
        <f t="shared" si="210"/>
        <v>0.04</v>
      </c>
      <c r="O644" s="152"/>
    </row>
    <row r="645" spans="1:15" outlineLevel="1" collapsed="1" x14ac:dyDescent="0.3">
      <c r="A645" s="152"/>
      <c r="B645" s="148"/>
      <c r="C645" s="613" t="str">
        <f>+C621</f>
        <v>Purchase Premium and Per Share Offer Price in USD:</v>
      </c>
      <c r="D645" s="500">
        <f t="shared" ref="D645" si="211">+D621</f>
        <v>47.674000000000007</v>
      </c>
      <c r="E645" s="501">
        <f>+E621</f>
        <v>0.1</v>
      </c>
      <c r="F645" s="507"/>
      <c r="G645" s="508"/>
      <c r="H645" s="508"/>
      <c r="I645" s="508"/>
      <c r="J645" s="509"/>
      <c r="K645" s="508"/>
      <c r="L645" s="508"/>
      <c r="M645" s="508"/>
      <c r="N645" s="508"/>
      <c r="O645" s="152"/>
    </row>
    <row r="646" spans="1:15" outlineLevel="1" x14ac:dyDescent="0.3">
      <c r="A646" s="152"/>
      <c r="B646" s="148"/>
      <c r="C646" s="614"/>
      <c r="D646" s="502">
        <f t="shared" ref="D646:E646" si="212">+D622</f>
        <v>49.841000000000001</v>
      </c>
      <c r="E646" s="501">
        <f t="shared" si="212"/>
        <v>0.15000000000000002</v>
      </c>
      <c r="F646" s="507"/>
      <c r="G646" s="508"/>
      <c r="H646" s="508"/>
      <c r="I646" s="508"/>
      <c r="J646" s="509"/>
      <c r="K646" s="508"/>
      <c r="L646" s="508"/>
      <c r="M646" s="508"/>
      <c r="N646" s="508"/>
      <c r="O646" s="152"/>
    </row>
    <row r="647" spans="1:15" outlineLevel="1" x14ac:dyDescent="0.3">
      <c r="A647" s="152"/>
      <c r="B647" s="148"/>
      <c r="C647" s="614"/>
      <c r="D647" s="502">
        <f t="shared" ref="D647:E647" si="213">+D623</f>
        <v>52.008000000000003</v>
      </c>
      <c r="E647" s="501">
        <f t="shared" si="213"/>
        <v>0.2</v>
      </c>
      <c r="F647" s="507"/>
      <c r="G647" s="508"/>
      <c r="H647" s="508"/>
      <c r="I647" s="508"/>
      <c r="J647" s="509"/>
      <c r="K647" s="508"/>
      <c r="L647" s="508"/>
      <c r="M647" s="508"/>
      <c r="N647" s="508"/>
      <c r="O647" s="152"/>
    </row>
    <row r="648" spans="1:15" outlineLevel="1" x14ac:dyDescent="0.3">
      <c r="A648" s="152"/>
      <c r="B648" s="148"/>
      <c r="C648" s="614"/>
      <c r="D648" s="502">
        <f t="shared" ref="D648:E648" si="214">+D624</f>
        <v>54</v>
      </c>
      <c r="E648" s="501">
        <f t="shared" si="214"/>
        <v>0.24596215966774326</v>
      </c>
      <c r="F648" s="510"/>
      <c r="G648" s="509"/>
      <c r="H648" s="509"/>
      <c r="I648" s="509"/>
      <c r="J648" s="509"/>
      <c r="K648" s="509"/>
      <c r="L648" s="509"/>
      <c r="M648" s="509"/>
      <c r="N648" s="509"/>
      <c r="O648" s="152"/>
    </row>
    <row r="649" spans="1:15" outlineLevel="1" x14ac:dyDescent="0.3">
      <c r="A649" s="152"/>
      <c r="B649" s="148"/>
      <c r="C649" s="614"/>
      <c r="D649" s="502">
        <f t="shared" ref="D649:E649" si="215">+D625</f>
        <v>56.342000000000006</v>
      </c>
      <c r="E649" s="501">
        <f t="shared" si="215"/>
        <v>0.3</v>
      </c>
      <c r="F649" s="507"/>
      <c r="G649" s="508"/>
      <c r="H649" s="508"/>
      <c r="I649" s="508"/>
      <c r="J649" s="509"/>
      <c r="K649" s="508"/>
      <c r="L649" s="508"/>
      <c r="M649" s="508"/>
      <c r="N649" s="508"/>
      <c r="O649" s="152"/>
    </row>
    <row r="650" spans="1:15" outlineLevel="1" x14ac:dyDescent="0.3">
      <c r="A650" s="152"/>
      <c r="B650" s="148"/>
      <c r="C650" s="614"/>
      <c r="D650" s="502">
        <f t="shared" ref="D650:E650" si="216">+D626</f>
        <v>58.509000000000007</v>
      </c>
      <c r="E650" s="501">
        <f t="shared" si="216"/>
        <v>0.35</v>
      </c>
      <c r="F650" s="507"/>
      <c r="G650" s="508"/>
      <c r="H650" s="508"/>
      <c r="I650" s="508"/>
      <c r="J650" s="509"/>
      <c r="K650" s="508"/>
      <c r="L650" s="508"/>
      <c r="M650" s="508"/>
      <c r="N650" s="508"/>
      <c r="O650" s="152"/>
    </row>
    <row r="651" spans="1:15" outlineLevel="1" x14ac:dyDescent="0.3">
      <c r="A651" s="152"/>
      <c r="B651" s="148"/>
      <c r="C651" s="615"/>
      <c r="D651" s="503">
        <f t="shared" ref="D651:E651" si="217">+D627</f>
        <v>60.676000000000002</v>
      </c>
      <c r="E651" s="504">
        <f t="shared" si="217"/>
        <v>0.39999999999999997</v>
      </c>
      <c r="F651" s="507"/>
      <c r="G651" s="508"/>
      <c r="H651" s="508"/>
      <c r="I651" s="508"/>
      <c r="J651" s="509"/>
      <c r="K651" s="508"/>
      <c r="L651" s="508"/>
      <c r="M651" s="508"/>
      <c r="N651" s="508"/>
      <c r="O651" s="152"/>
    </row>
    <row r="652" spans="1:15" outlineLevel="1" x14ac:dyDescent="0.3">
      <c r="A652" s="152"/>
      <c r="B652" s="148"/>
      <c r="C652" s="148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152"/>
    </row>
    <row r="653" spans="1:15" outlineLevel="1" x14ac:dyDescent="0.3">
      <c r="A653" s="152"/>
      <c r="B653" s="3" t="s">
        <v>409</v>
      </c>
      <c r="C653" s="148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52"/>
    </row>
    <row r="654" spans="1:15" outlineLevel="1" x14ac:dyDescent="0.3">
      <c r="A654" s="152"/>
      <c r="B654" s="148"/>
      <c r="C654" s="148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152"/>
    </row>
    <row r="655" spans="1:15" outlineLevel="1" x14ac:dyDescent="0.3">
      <c r="A655" s="152"/>
      <c r="B655" s="148"/>
      <c r="C655" s="491"/>
      <c r="D655" s="517"/>
      <c r="E655" s="517"/>
      <c r="F655" s="518" t="s">
        <v>410</v>
      </c>
      <c r="G655" s="518"/>
      <c r="H655" s="518"/>
      <c r="I655" s="518"/>
      <c r="J655" s="518"/>
      <c r="K655" s="518"/>
      <c r="L655" s="518"/>
      <c r="M655" s="518"/>
      <c r="N655" s="519"/>
      <c r="O655" s="152"/>
    </row>
    <row r="656" spans="1:15" outlineLevel="1" x14ac:dyDescent="0.3">
      <c r="A656" s="152"/>
      <c r="B656" s="148"/>
      <c r="C656" s="495"/>
      <c r="D656" s="520" t="s">
        <v>405</v>
      </c>
      <c r="E656" s="521"/>
      <c r="F656" s="522">
        <v>-0.04</v>
      </c>
      <c r="G656" s="522">
        <f>+F656+1%</f>
        <v>-0.03</v>
      </c>
      <c r="H656" s="522">
        <f t="shared" ref="H656:N656" si="218">+G656+1%</f>
        <v>-1.9999999999999997E-2</v>
      </c>
      <c r="I656" s="522">
        <f t="shared" si="218"/>
        <v>-9.9999999999999967E-3</v>
      </c>
      <c r="J656" s="522">
        <f t="shared" si="218"/>
        <v>0</v>
      </c>
      <c r="K656" s="522">
        <f t="shared" si="218"/>
        <v>0.01</v>
      </c>
      <c r="L656" s="522">
        <f t="shared" si="218"/>
        <v>0.02</v>
      </c>
      <c r="M656" s="522">
        <f t="shared" si="218"/>
        <v>0.03</v>
      </c>
      <c r="N656" s="523">
        <f t="shared" si="218"/>
        <v>0.04</v>
      </c>
      <c r="O656" s="152"/>
    </row>
    <row r="657" spans="1:15" outlineLevel="1" x14ac:dyDescent="0.3">
      <c r="A657" s="152"/>
      <c r="B657" s="148"/>
      <c r="C657" s="495"/>
      <c r="D657" s="520" t="s">
        <v>20</v>
      </c>
      <c r="E657" s="521">
        <f>+$Q$267</f>
        <v>940.08302990800348</v>
      </c>
      <c r="F657" s="530"/>
      <c r="G657" s="530"/>
      <c r="H657" s="530"/>
      <c r="I657" s="530"/>
      <c r="J657" s="530"/>
      <c r="K657" s="530"/>
      <c r="L657" s="530"/>
      <c r="M657" s="530"/>
      <c r="N657" s="531"/>
      <c r="O657" s="152"/>
    </row>
    <row r="658" spans="1:15" hidden="1" outlineLevel="3" x14ac:dyDescent="0.3">
      <c r="A658" s="152"/>
      <c r="B658" s="148"/>
      <c r="C658" s="495"/>
      <c r="D658" s="520"/>
      <c r="E658" s="527">
        <f>+$I$595</f>
        <v>0</v>
      </c>
      <c r="F658" s="528">
        <f>+F656</f>
        <v>-0.04</v>
      </c>
      <c r="G658" s="528">
        <f t="shared" ref="G658:N658" si="219">+G656</f>
        <v>-0.03</v>
      </c>
      <c r="H658" s="528">
        <f t="shared" si="219"/>
        <v>-1.9999999999999997E-2</v>
      </c>
      <c r="I658" s="528">
        <f t="shared" si="219"/>
        <v>-9.9999999999999967E-3</v>
      </c>
      <c r="J658" s="528">
        <f t="shared" si="219"/>
        <v>0</v>
      </c>
      <c r="K658" s="528">
        <f t="shared" si="219"/>
        <v>0.01</v>
      </c>
      <c r="L658" s="528">
        <f t="shared" si="219"/>
        <v>0.02</v>
      </c>
      <c r="M658" s="528">
        <f t="shared" si="219"/>
        <v>0.03</v>
      </c>
      <c r="N658" s="529">
        <f t="shared" si="219"/>
        <v>0.04</v>
      </c>
      <c r="O658" s="152"/>
    </row>
    <row r="659" spans="1:15" outlineLevel="1" collapsed="1" x14ac:dyDescent="0.3">
      <c r="A659" s="152"/>
      <c r="B659" s="148"/>
      <c r="C659" s="613" t="str">
        <f>+C645</f>
        <v>Purchase Premium and Per Share Offer Price in USD:</v>
      </c>
      <c r="D659" s="500">
        <f>+D645</f>
        <v>47.674000000000007</v>
      </c>
      <c r="E659" s="501">
        <f>+E645</f>
        <v>0.1</v>
      </c>
      <c r="F659" s="507"/>
      <c r="G659" s="508"/>
      <c r="H659" s="508"/>
      <c r="I659" s="508"/>
      <c r="J659" s="509"/>
      <c r="K659" s="508"/>
      <c r="L659" s="508"/>
      <c r="M659" s="508"/>
      <c r="N659" s="508"/>
      <c r="O659" s="152"/>
    </row>
    <row r="660" spans="1:15" outlineLevel="1" x14ac:dyDescent="0.3">
      <c r="A660" s="152"/>
      <c r="B660" s="148"/>
      <c r="C660" s="614"/>
      <c r="D660" s="502">
        <f t="shared" ref="D660:E665" si="220">+D646</f>
        <v>49.841000000000001</v>
      </c>
      <c r="E660" s="501">
        <f t="shared" si="220"/>
        <v>0.15000000000000002</v>
      </c>
      <c r="F660" s="507"/>
      <c r="G660" s="508"/>
      <c r="H660" s="508"/>
      <c r="I660" s="508"/>
      <c r="J660" s="509"/>
      <c r="K660" s="508"/>
      <c r="L660" s="508"/>
      <c r="M660" s="508"/>
      <c r="N660" s="508"/>
      <c r="O660" s="152"/>
    </row>
    <row r="661" spans="1:15" outlineLevel="1" x14ac:dyDescent="0.3">
      <c r="A661" s="152"/>
      <c r="B661" s="148"/>
      <c r="C661" s="614"/>
      <c r="D661" s="502">
        <f t="shared" si="220"/>
        <v>52.008000000000003</v>
      </c>
      <c r="E661" s="501">
        <f t="shared" si="220"/>
        <v>0.2</v>
      </c>
      <c r="F661" s="507"/>
      <c r="G661" s="508"/>
      <c r="H661" s="508"/>
      <c r="I661" s="508"/>
      <c r="J661" s="509"/>
      <c r="K661" s="508"/>
      <c r="L661" s="508"/>
      <c r="M661" s="508"/>
      <c r="N661" s="508"/>
      <c r="O661" s="152"/>
    </row>
    <row r="662" spans="1:15" outlineLevel="1" x14ac:dyDescent="0.3">
      <c r="A662" s="152"/>
      <c r="B662" s="148"/>
      <c r="C662" s="614"/>
      <c r="D662" s="502">
        <f t="shared" si="220"/>
        <v>54</v>
      </c>
      <c r="E662" s="501">
        <f t="shared" si="220"/>
        <v>0.24596215966774326</v>
      </c>
      <c r="F662" s="510"/>
      <c r="G662" s="509"/>
      <c r="H662" s="509"/>
      <c r="I662" s="509"/>
      <c r="J662" s="509"/>
      <c r="K662" s="509"/>
      <c r="L662" s="509"/>
      <c r="M662" s="509"/>
      <c r="N662" s="509"/>
      <c r="O662" s="152"/>
    </row>
    <row r="663" spans="1:15" outlineLevel="1" x14ac:dyDescent="0.3">
      <c r="A663" s="152"/>
      <c r="B663" s="148"/>
      <c r="C663" s="614"/>
      <c r="D663" s="502">
        <f t="shared" si="220"/>
        <v>56.342000000000006</v>
      </c>
      <c r="E663" s="501">
        <f t="shared" si="220"/>
        <v>0.3</v>
      </c>
      <c r="F663" s="507"/>
      <c r="G663" s="508"/>
      <c r="H663" s="508"/>
      <c r="I663" s="508"/>
      <c r="J663" s="509"/>
      <c r="K663" s="508"/>
      <c r="L663" s="508"/>
      <c r="M663" s="508"/>
      <c r="N663" s="508"/>
      <c r="O663" s="152"/>
    </row>
    <row r="664" spans="1:15" outlineLevel="1" x14ac:dyDescent="0.3">
      <c r="A664" s="152"/>
      <c r="B664" s="148"/>
      <c r="C664" s="614"/>
      <c r="D664" s="502">
        <f t="shared" si="220"/>
        <v>58.509000000000007</v>
      </c>
      <c r="E664" s="501">
        <f t="shared" si="220"/>
        <v>0.35</v>
      </c>
      <c r="F664" s="507"/>
      <c r="G664" s="508"/>
      <c r="H664" s="508"/>
      <c r="I664" s="508"/>
      <c r="J664" s="509"/>
      <c r="K664" s="508"/>
      <c r="L664" s="508"/>
      <c r="M664" s="508"/>
      <c r="N664" s="508"/>
      <c r="O664" s="152"/>
    </row>
    <row r="665" spans="1:15" outlineLevel="1" x14ac:dyDescent="0.3">
      <c r="A665" s="152"/>
      <c r="B665" s="148"/>
      <c r="C665" s="615"/>
      <c r="D665" s="503">
        <f t="shared" si="220"/>
        <v>60.676000000000002</v>
      </c>
      <c r="E665" s="504">
        <f t="shared" si="220"/>
        <v>0.39999999999999997</v>
      </c>
      <c r="F665" s="507"/>
      <c r="G665" s="508"/>
      <c r="H665" s="508"/>
      <c r="I665" s="508"/>
      <c r="J665" s="509"/>
      <c r="K665" s="508"/>
      <c r="L665" s="508"/>
      <c r="M665" s="508"/>
      <c r="N665" s="508"/>
      <c r="O665" s="152"/>
    </row>
    <row r="666" spans="1:15" outlineLevel="1" x14ac:dyDescent="0.3">
      <c r="A666" s="152"/>
      <c r="B666" s="148"/>
      <c r="C666" s="148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52"/>
    </row>
    <row r="667" spans="1:15" outlineLevel="1" x14ac:dyDescent="0.3">
      <c r="A667" s="152"/>
      <c r="B667" s="3" t="s">
        <v>422</v>
      </c>
      <c r="C667" s="148"/>
      <c r="D667" s="148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152"/>
    </row>
    <row r="668" spans="1:15" outlineLevel="1" x14ac:dyDescent="0.3">
      <c r="A668" s="152"/>
      <c r="B668" s="148"/>
      <c r="C668" s="148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  <c r="O668" s="152"/>
    </row>
    <row r="669" spans="1:15" outlineLevel="1" x14ac:dyDescent="0.3">
      <c r="A669" s="152"/>
      <c r="B669" s="148"/>
      <c r="C669" s="491"/>
      <c r="D669" s="517"/>
      <c r="E669" s="517"/>
      <c r="F669" s="518" t="s">
        <v>424</v>
      </c>
      <c r="G669" s="518"/>
      <c r="H669" s="518"/>
      <c r="I669" s="518"/>
      <c r="J669" s="518"/>
      <c r="K669" s="518"/>
      <c r="L669" s="518"/>
      <c r="M669" s="518"/>
      <c r="N669" s="519"/>
      <c r="O669" s="152"/>
    </row>
    <row r="670" spans="1:15" outlineLevel="1" x14ac:dyDescent="0.3">
      <c r="A670" s="152"/>
      <c r="B670" s="148"/>
      <c r="C670" s="495"/>
      <c r="D670" s="520" t="s">
        <v>405</v>
      </c>
      <c r="E670" s="521"/>
      <c r="F670" s="522">
        <v>-0.2</v>
      </c>
      <c r="G670" s="522">
        <v>-0.15000000000000002</v>
      </c>
      <c r="H670" s="522">
        <v>-0.10000000000000002</v>
      </c>
      <c r="I670" s="522">
        <v>-5.0000000000000017E-2</v>
      </c>
      <c r="J670" s="522">
        <v>0</v>
      </c>
      <c r="K670" s="522">
        <v>0.05</v>
      </c>
      <c r="L670" s="522">
        <v>0.1</v>
      </c>
      <c r="M670" s="522">
        <v>0.15000000000000002</v>
      </c>
      <c r="N670" s="523">
        <v>0.2</v>
      </c>
      <c r="O670" s="152"/>
    </row>
    <row r="671" spans="1:15" outlineLevel="1" x14ac:dyDescent="0.3">
      <c r="A671" s="152"/>
      <c r="B671" s="148"/>
      <c r="C671" s="495"/>
      <c r="D671" s="520" t="s">
        <v>380</v>
      </c>
      <c r="E671" s="521">
        <f>+$Q$571</f>
        <v>0</v>
      </c>
      <c r="F671" s="530"/>
      <c r="G671" s="530"/>
      <c r="H671" s="530"/>
      <c r="I671" s="530"/>
      <c r="J671" s="530"/>
      <c r="K671" s="530"/>
      <c r="L671" s="530"/>
      <c r="M671" s="530"/>
      <c r="N671" s="531"/>
      <c r="O671" s="152"/>
    </row>
    <row r="672" spans="1:15" hidden="1" outlineLevel="2" x14ac:dyDescent="0.3">
      <c r="A672" s="152"/>
      <c r="B672" s="148"/>
      <c r="C672" s="495"/>
      <c r="D672" s="526"/>
      <c r="E672" s="527">
        <f>+$I$595</f>
        <v>0</v>
      </c>
      <c r="F672" s="528">
        <f>+F670</f>
        <v>-0.2</v>
      </c>
      <c r="G672" s="528">
        <f t="shared" ref="G672:N672" si="221">+G670</f>
        <v>-0.15000000000000002</v>
      </c>
      <c r="H672" s="528">
        <f t="shared" si="221"/>
        <v>-0.10000000000000002</v>
      </c>
      <c r="I672" s="528">
        <f t="shared" si="221"/>
        <v>-5.0000000000000017E-2</v>
      </c>
      <c r="J672" s="528">
        <f t="shared" si="221"/>
        <v>0</v>
      </c>
      <c r="K672" s="528">
        <f t="shared" si="221"/>
        <v>0.05</v>
      </c>
      <c r="L672" s="528">
        <f t="shared" si="221"/>
        <v>0.1</v>
      </c>
      <c r="M672" s="528">
        <f t="shared" si="221"/>
        <v>0.15000000000000002</v>
      </c>
      <c r="N672" s="529">
        <f t="shared" si="221"/>
        <v>0.2</v>
      </c>
      <c r="O672" s="152"/>
    </row>
    <row r="673" spans="1:15" outlineLevel="1" collapsed="1" x14ac:dyDescent="0.3">
      <c r="A673" s="152"/>
      <c r="B673" s="148"/>
      <c r="C673" s="613" t="str">
        <f>+C659</f>
        <v>Purchase Premium and Per Share Offer Price in USD:</v>
      </c>
      <c r="D673" s="500">
        <f>+D659</f>
        <v>47.674000000000007</v>
      </c>
      <c r="E673" s="501">
        <f>+E659</f>
        <v>0.1</v>
      </c>
      <c r="F673" s="507"/>
      <c r="G673" s="508"/>
      <c r="H673" s="508"/>
      <c r="I673" s="508"/>
      <c r="J673" s="509"/>
      <c r="K673" s="508"/>
      <c r="L673" s="508"/>
      <c r="M673" s="508"/>
      <c r="N673" s="508"/>
      <c r="O673" s="152"/>
    </row>
    <row r="674" spans="1:15" outlineLevel="1" x14ac:dyDescent="0.3">
      <c r="A674" s="152"/>
      <c r="B674" s="148"/>
      <c r="C674" s="614"/>
      <c r="D674" s="502">
        <f t="shared" ref="D674:E679" si="222">+D660</f>
        <v>49.841000000000001</v>
      </c>
      <c r="E674" s="501">
        <f t="shared" si="222"/>
        <v>0.15000000000000002</v>
      </c>
      <c r="F674" s="507"/>
      <c r="G674" s="508"/>
      <c r="H674" s="508"/>
      <c r="I674" s="508"/>
      <c r="J674" s="509"/>
      <c r="K674" s="508"/>
      <c r="L674" s="508"/>
      <c r="M674" s="508"/>
      <c r="N674" s="508"/>
      <c r="O674" s="152"/>
    </row>
    <row r="675" spans="1:15" outlineLevel="1" x14ac:dyDescent="0.3">
      <c r="A675" s="152"/>
      <c r="B675" s="148"/>
      <c r="C675" s="614"/>
      <c r="D675" s="502">
        <f t="shared" si="222"/>
        <v>52.008000000000003</v>
      </c>
      <c r="E675" s="501">
        <f t="shared" si="222"/>
        <v>0.2</v>
      </c>
      <c r="F675" s="507"/>
      <c r="G675" s="508"/>
      <c r="H675" s="508"/>
      <c r="I675" s="508"/>
      <c r="J675" s="509"/>
      <c r="K675" s="508"/>
      <c r="L675" s="508"/>
      <c r="M675" s="508"/>
      <c r="N675" s="508"/>
      <c r="O675" s="152"/>
    </row>
    <row r="676" spans="1:15" outlineLevel="1" x14ac:dyDescent="0.3">
      <c r="A676" s="152"/>
      <c r="B676" s="148"/>
      <c r="C676" s="614"/>
      <c r="D676" s="502">
        <f t="shared" si="222"/>
        <v>54</v>
      </c>
      <c r="E676" s="501">
        <f t="shared" si="222"/>
        <v>0.24596215966774326</v>
      </c>
      <c r="F676" s="510"/>
      <c r="G676" s="509"/>
      <c r="H676" s="509"/>
      <c r="I676" s="509"/>
      <c r="J676" s="509"/>
      <c r="K676" s="509"/>
      <c r="L676" s="509"/>
      <c r="M676" s="509"/>
      <c r="N676" s="509"/>
      <c r="O676" s="152"/>
    </row>
    <row r="677" spans="1:15" outlineLevel="1" x14ac:dyDescent="0.3">
      <c r="A677" s="152"/>
      <c r="B677" s="148"/>
      <c r="C677" s="614"/>
      <c r="D677" s="502">
        <f t="shared" si="222"/>
        <v>56.342000000000006</v>
      </c>
      <c r="E677" s="501">
        <f t="shared" si="222"/>
        <v>0.3</v>
      </c>
      <c r="F677" s="507"/>
      <c r="G677" s="508"/>
      <c r="H677" s="508"/>
      <c r="I677" s="508"/>
      <c r="J677" s="509"/>
      <c r="K677" s="508"/>
      <c r="L677" s="508"/>
      <c r="M677" s="508"/>
      <c r="N677" s="508"/>
      <c r="O677" s="152"/>
    </row>
    <row r="678" spans="1:15" outlineLevel="1" x14ac:dyDescent="0.3">
      <c r="A678" s="152"/>
      <c r="B678" s="148"/>
      <c r="C678" s="614"/>
      <c r="D678" s="502">
        <f t="shared" si="222"/>
        <v>58.509000000000007</v>
      </c>
      <c r="E678" s="501">
        <f t="shared" si="222"/>
        <v>0.35</v>
      </c>
      <c r="F678" s="507"/>
      <c r="G678" s="508"/>
      <c r="H678" s="508"/>
      <c r="I678" s="508"/>
      <c r="J678" s="509"/>
      <c r="K678" s="508"/>
      <c r="L678" s="508"/>
      <c r="M678" s="508"/>
      <c r="N678" s="508"/>
      <c r="O678" s="152"/>
    </row>
    <row r="679" spans="1:15" outlineLevel="1" x14ac:dyDescent="0.3">
      <c r="A679" s="152"/>
      <c r="B679" s="148"/>
      <c r="C679" s="615"/>
      <c r="D679" s="503">
        <f t="shared" si="222"/>
        <v>60.676000000000002</v>
      </c>
      <c r="E679" s="504">
        <f t="shared" si="222"/>
        <v>0.39999999999999997</v>
      </c>
      <c r="F679" s="507"/>
      <c r="G679" s="508"/>
      <c r="H679" s="508"/>
      <c r="I679" s="508"/>
      <c r="J679" s="509"/>
      <c r="K679" s="508"/>
      <c r="L679" s="508"/>
      <c r="M679" s="508"/>
      <c r="N679" s="508"/>
      <c r="O679" s="152"/>
    </row>
    <row r="680" spans="1:15" outlineLevel="1" x14ac:dyDescent="0.3">
      <c r="A680" s="152"/>
      <c r="B680" s="148"/>
      <c r="C680" s="148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  <c r="O680" s="152"/>
    </row>
    <row r="681" spans="1:15" outlineLevel="1" x14ac:dyDescent="0.3">
      <c r="A681" s="152"/>
      <c r="B681" s="3" t="s">
        <v>418</v>
      </c>
      <c r="C681" s="148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52"/>
    </row>
    <row r="682" spans="1:15" outlineLevel="1" x14ac:dyDescent="0.3">
      <c r="A682" s="152"/>
      <c r="B682" s="148"/>
      <c r="C682" s="148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  <c r="O682" s="152"/>
    </row>
    <row r="683" spans="1:15" outlineLevel="1" x14ac:dyDescent="0.3">
      <c r="A683" s="152"/>
      <c r="B683" s="148"/>
      <c r="C683" s="491"/>
      <c r="D683" s="517"/>
      <c r="E683" s="517"/>
      <c r="F683" s="518" t="s">
        <v>417</v>
      </c>
      <c r="G683" s="518"/>
      <c r="H683" s="518"/>
      <c r="I683" s="518"/>
      <c r="J683" s="518"/>
      <c r="K683" s="518"/>
      <c r="L683" s="518"/>
      <c r="M683" s="518"/>
      <c r="N683" s="519"/>
      <c r="O683" s="152"/>
    </row>
    <row r="684" spans="1:15" outlineLevel="1" x14ac:dyDescent="0.3">
      <c r="A684" s="152"/>
      <c r="B684" s="148"/>
      <c r="C684" s="495"/>
      <c r="D684" s="520" t="s">
        <v>405</v>
      </c>
      <c r="E684" s="521"/>
      <c r="F684" s="522">
        <v>-0.04</v>
      </c>
      <c r="G684" s="522">
        <f>+F684+1%</f>
        <v>-0.03</v>
      </c>
      <c r="H684" s="522">
        <f t="shared" ref="H684:N684" si="223">+G684+1%</f>
        <v>-1.9999999999999997E-2</v>
      </c>
      <c r="I684" s="522">
        <f t="shared" si="223"/>
        <v>-9.9999999999999967E-3</v>
      </c>
      <c r="J684" s="522">
        <f t="shared" si="223"/>
        <v>0</v>
      </c>
      <c r="K684" s="522">
        <f t="shared" si="223"/>
        <v>0.01</v>
      </c>
      <c r="L684" s="522">
        <f t="shared" si="223"/>
        <v>0.02</v>
      </c>
      <c r="M684" s="522">
        <f t="shared" si="223"/>
        <v>0.03</v>
      </c>
      <c r="N684" s="523">
        <f t="shared" si="223"/>
        <v>0.04</v>
      </c>
      <c r="O684" s="152"/>
    </row>
    <row r="685" spans="1:15" outlineLevel="1" x14ac:dyDescent="0.3">
      <c r="A685" s="152"/>
      <c r="B685" s="148"/>
      <c r="C685" s="495"/>
      <c r="D685" s="520" t="s">
        <v>361</v>
      </c>
      <c r="E685" s="521">
        <f>+$Q$313</f>
        <v>0.22446016670638363</v>
      </c>
      <c r="F685" s="528"/>
      <c r="G685" s="528"/>
      <c r="H685" s="528"/>
      <c r="I685" s="528"/>
      <c r="J685" s="528"/>
      <c r="K685" s="528"/>
      <c r="L685" s="528"/>
      <c r="M685" s="528"/>
      <c r="N685" s="529"/>
      <c r="O685" s="152"/>
    </row>
    <row r="686" spans="1:15" hidden="1" outlineLevel="2" x14ac:dyDescent="0.3">
      <c r="A686" s="152"/>
      <c r="B686" s="148"/>
      <c r="C686" s="495"/>
      <c r="D686" s="526"/>
      <c r="E686" s="527">
        <f>+$I$595</f>
        <v>0</v>
      </c>
      <c r="F686" s="528">
        <f>+F684</f>
        <v>-0.04</v>
      </c>
      <c r="G686" s="528">
        <f t="shared" ref="G686:N686" si="224">+G684</f>
        <v>-0.03</v>
      </c>
      <c r="H686" s="528">
        <f t="shared" si="224"/>
        <v>-1.9999999999999997E-2</v>
      </c>
      <c r="I686" s="528">
        <f t="shared" si="224"/>
        <v>-9.9999999999999967E-3</v>
      </c>
      <c r="J686" s="528">
        <f t="shared" si="224"/>
        <v>0</v>
      </c>
      <c r="K686" s="528">
        <f t="shared" si="224"/>
        <v>0.01</v>
      </c>
      <c r="L686" s="528">
        <f t="shared" si="224"/>
        <v>0.02</v>
      </c>
      <c r="M686" s="528">
        <f t="shared" si="224"/>
        <v>0.03</v>
      </c>
      <c r="N686" s="529">
        <f t="shared" si="224"/>
        <v>0.04</v>
      </c>
      <c r="O686" s="152"/>
    </row>
    <row r="687" spans="1:15" outlineLevel="1" collapsed="1" x14ac:dyDescent="0.3">
      <c r="A687" s="152"/>
      <c r="B687" s="148"/>
      <c r="C687" s="613" t="str">
        <f>+C673</f>
        <v>Purchase Premium and Per Share Offer Price in USD:</v>
      </c>
      <c r="D687" s="500">
        <f>+D673</f>
        <v>47.674000000000007</v>
      </c>
      <c r="E687" s="501">
        <f t="shared" ref="E687:E693" si="225">+E673</f>
        <v>0.1</v>
      </c>
      <c r="F687" s="507"/>
      <c r="G687" s="508"/>
      <c r="H687" s="508"/>
      <c r="I687" s="508"/>
      <c r="J687" s="509"/>
      <c r="K687" s="508"/>
      <c r="L687" s="508"/>
      <c r="M687" s="508"/>
      <c r="N687" s="508"/>
      <c r="O687" s="152"/>
    </row>
    <row r="688" spans="1:15" outlineLevel="1" x14ac:dyDescent="0.3">
      <c r="A688" s="152"/>
      <c r="B688" s="148"/>
      <c r="C688" s="614"/>
      <c r="D688" s="502">
        <f t="shared" ref="D688:D693" si="226">+D674</f>
        <v>49.841000000000001</v>
      </c>
      <c r="E688" s="501">
        <f t="shared" si="225"/>
        <v>0.15000000000000002</v>
      </c>
      <c r="F688" s="507"/>
      <c r="G688" s="508"/>
      <c r="H688" s="508"/>
      <c r="I688" s="508"/>
      <c r="J688" s="509"/>
      <c r="K688" s="508"/>
      <c r="L688" s="508"/>
      <c r="M688" s="508"/>
      <c r="N688" s="508"/>
      <c r="O688" s="152"/>
    </row>
    <row r="689" spans="1:15" outlineLevel="1" x14ac:dyDescent="0.3">
      <c r="A689" s="152"/>
      <c r="B689" s="148"/>
      <c r="C689" s="614"/>
      <c r="D689" s="502">
        <f t="shared" si="226"/>
        <v>52.008000000000003</v>
      </c>
      <c r="E689" s="501">
        <f t="shared" si="225"/>
        <v>0.2</v>
      </c>
      <c r="F689" s="507"/>
      <c r="G689" s="508"/>
      <c r="H689" s="508"/>
      <c r="I689" s="508"/>
      <c r="J689" s="509"/>
      <c r="K689" s="508"/>
      <c r="L689" s="508"/>
      <c r="M689" s="508"/>
      <c r="N689" s="508"/>
      <c r="O689" s="152"/>
    </row>
    <row r="690" spans="1:15" outlineLevel="1" x14ac:dyDescent="0.3">
      <c r="A690" s="152"/>
      <c r="B690" s="148"/>
      <c r="C690" s="614"/>
      <c r="D690" s="502">
        <f t="shared" si="226"/>
        <v>54</v>
      </c>
      <c r="E690" s="501">
        <f t="shared" si="225"/>
        <v>0.24596215966774326</v>
      </c>
      <c r="F690" s="510"/>
      <c r="G690" s="509"/>
      <c r="H690" s="509"/>
      <c r="I690" s="509"/>
      <c r="J690" s="509"/>
      <c r="K690" s="509"/>
      <c r="L690" s="509"/>
      <c r="M690" s="509"/>
      <c r="N690" s="509"/>
      <c r="O690" s="152"/>
    </row>
    <row r="691" spans="1:15" outlineLevel="1" x14ac:dyDescent="0.3">
      <c r="A691" s="152"/>
      <c r="B691" s="148"/>
      <c r="C691" s="614"/>
      <c r="D691" s="502">
        <f t="shared" si="226"/>
        <v>56.342000000000006</v>
      </c>
      <c r="E691" s="501">
        <f t="shared" si="225"/>
        <v>0.3</v>
      </c>
      <c r="F691" s="507"/>
      <c r="G691" s="508"/>
      <c r="H691" s="508"/>
      <c r="I691" s="508"/>
      <c r="J691" s="509"/>
      <c r="K691" s="508"/>
      <c r="L691" s="508"/>
      <c r="M691" s="508"/>
      <c r="N691" s="508"/>
      <c r="O691" s="152"/>
    </row>
    <row r="692" spans="1:15" outlineLevel="1" x14ac:dyDescent="0.3">
      <c r="A692" s="152"/>
      <c r="B692" s="148"/>
      <c r="C692" s="614"/>
      <c r="D692" s="502">
        <f t="shared" si="226"/>
        <v>58.509000000000007</v>
      </c>
      <c r="E692" s="501">
        <f t="shared" si="225"/>
        <v>0.35</v>
      </c>
      <c r="F692" s="507"/>
      <c r="G692" s="508"/>
      <c r="H692" s="508"/>
      <c r="I692" s="508"/>
      <c r="J692" s="509"/>
      <c r="K692" s="508"/>
      <c r="L692" s="508"/>
      <c r="M692" s="508"/>
      <c r="N692" s="508"/>
      <c r="O692" s="152"/>
    </row>
    <row r="693" spans="1:15" outlineLevel="1" x14ac:dyDescent="0.3">
      <c r="A693" s="152"/>
      <c r="B693" s="148"/>
      <c r="C693" s="615"/>
      <c r="D693" s="503">
        <f t="shared" si="226"/>
        <v>60.676000000000002</v>
      </c>
      <c r="E693" s="504">
        <f t="shared" si="225"/>
        <v>0.39999999999999997</v>
      </c>
      <c r="F693" s="507"/>
      <c r="G693" s="508"/>
      <c r="H693" s="508"/>
      <c r="I693" s="508"/>
      <c r="J693" s="509"/>
      <c r="K693" s="508"/>
      <c r="L693" s="508"/>
      <c r="M693" s="508"/>
      <c r="N693" s="508"/>
      <c r="O693" s="152"/>
    </row>
    <row r="694" spans="1:15" outlineLevel="1" x14ac:dyDescent="0.3">
      <c r="A694" s="152"/>
      <c r="B694" s="152"/>
      <c r="C694" s="152"/>
      <c r="G694" s="185"/>
      <c r="H694" s="185"/>
      <c r="I694" s="185"/>
      <c r="J694" s="185"/>
      <c r="K694" s="185"/>
      <c r="L694" s="185"/>
      <c r="M694" s="185"/>
      <c r="N694" s="152"/>
      <c r="O694" s="152"/>
    </row>
    <row r="695" spans="1:15" x14ac:dyDescent="0.3">
      <c r="A695" s="152"/>
      <c r="B695" s="152"/>
      <c r="C695" s="152"/>
      <c r="G695" s="185"/>
      <c r="H695" s="185"/>
      <c r="I695" s="185"/>
      <c r="J695" s="185"/>
      <c r="K695" s="185"/>
      <c r="L695" s="185"/>
      <c r="M695" s="185"/>
      <c r="N695" s="152"/>
      <c r="O695" s="152"/>
    </row>
    <row r="696" spans="1:15" x14ac:dyDescent="0.3">
      <c r="A696" s="152"/>
      <c r="B696" s="152"/>
      <c r="C696" s="152"/>
      <c r="G696" s="185"/>
      <c r="H696" s="185"/>
      <c r="I696" s="185"/>
      <c r="J696" s="185"/>
      <c r="K696" s="185"/>
      <c r="L696" s="185"/>
      <c r="M696" s="185"/>
      <c r="N696" s="152"/>
      <c r="O696" s="152"/>
    </row>
    <row r="697" spans="1:15" x14ac:dyDescent="0.3">
      <c r="A697" s="152"/>
      <c r="B697" s="152"/>
      <c r="C697" s="152"/>
      <c r="G697" s="185"/>
      <c r="H697" s="185"/>
      <c r="I697" s="185"/>
      <c r="J697" s="185"/>
      <c r="K697" s="185"/>
      <c r="L697" s="185"/>
      <c r="M697" s="185"/>
      <c r="N697" s="152"/>
      <c r="O697" s="152"/>
    </row>
    <row r="698" spans="1:15" x14ac:dyDescent="0.3">
      <c r="A698" s="152"/>
      <c r="B698" s="152"/>
      <c r="C698" s="152"/>
      <c r="G698" s="185"/>
      <c r="H698" s="185"/>
      <c r="I698" s="185"/>
      <c r="J698" s="185"/>
      <c r="K698" s="185"/>
      <c r="L698" s="185"/>
      <c r="M698" s="185"/>
      <c r="N698" s="152"/>
      <c r="O698" s="152"/>
    </row>
  </sheetData>
  <mergeCells count="7">
    <mergeCell ref="C673:C679"/>
    <mergeCell ref="C687:C693"/>
    <mergeCell ref="C609:C615"/>
    <mergeCell ref="C621:C627"/>
    <mergeCell ref="C633:C637"/>
    <mergeCell ref="C645:C651"/>
    <mergeCell ref="C659:C665"/>
  </mergeCells>
  <dataValidations disablePrompts="1" count="4">
    <dataValidation type="whole" allowBlank="1" showInputMessage="1" showErrorMessage="1" sqref="F16">
      <formula1>0</formula1>
      <formula2>1</formula2>
    </dataValidation>
    <dataValidation type="decimal" allowBlank="1" showInputMessage="1" showErrorMessage="1" sqref="F69">
      <formula1>-F63</formula1>
      <formula2>0</formula2>
    </dataValidation>
    <dataValidation type="whole" operator="greaterThanOrEqual" allowBlank="1" showInputMessage="1" showErrorMessage="1" sqref="I318">
      <formula1>0</formula1>
    </dataValidation>
    <dataValidation type="list" showInputMessage="1" showErrorMessage="1" sqref="F19">
      <formula1>$M$132:$Q$132</formula1>
    </dataValidation>
  </dataValidations>
  <pageMargins left="0.7" right="0.7" top="0.75" bottom="0.75" header="0.3" footer="0.3"/>
  <pageSetup scale="48" orientation="portrait" r:id="rId1"/>
  <rowBreaks count="12" manualBreakCount="12">
    <brk id="72" max="17" man="1"/>
    <brk id="112" max="17" man="1"/>
    <brk id="167" max="17" man="1"/>
    <brk id="258" max="17" man="1"/>
    <brk id="313" max="17" man="1"/>
    <brk id="336" max="17" man="1"/>
    <brk id="393" max="17" man="1"/>
    <brk id="451" max="17" man="1"/>
    <brk id="516" max="17" man="1"/>
    <brk id="573" max="17" man="1"/>
    <brk id="601" max="17" man="1"/>
    <brk id="652" max="17" man="1"/>
  </rowBreaks>
  <ignoredErrors>
    <ignoredError sqref="N253:Q25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CEC-LBO-Model</vt:lpstr>
      <vt:lpstr>Basic_Shares</vt:lpstr>
      <vt:lpstr>CapEx_Toggle</vt:lpstr>
      <vt:lpstr>Circ_Ref</vt:lpstr>
      <vt:lpstr>Company_name</vt:lpstr>
      <vt:lpstr>Diluted_Shares</vt:lpstr>
      <vt:lpstr>Expense_Toggle</vt:lpstr>
      <vt:lpstr>Hist_Year</vt:lpstr>
      <vt:lpstr>Investor_Ownership</vt:lpstr>
      <vt:lpstr>LBO_Exit_Date</vt:lpstr>
      <vt:lpstr>LBO_Exit_Multiple</vt:lpstr>
      <vt:lpstr>LIBOR_Units</vt:lpstr>
      <vt:lpstr>LTM_EBITDA</vt:lpstr>
      <vt:lpstr>Min_Cash</vt:lpstr>
      <vt:lpstr>Num_Store_Toggle</vt:lpstr>
      <vt:lpstr>Offer_Price</vt:lpstr>
      <vt:lpstr>PPE_Useful_Life</vt:lpstr>
      <vt:lpstr>PPE_Writeup</vt:lpstr>
      <vt:lpstr>'CEC-LBO-Model'!Print_Area</vt:lpstr>
      <vt:lpstr>Refinance_Debt</vt:lpstr>
      <vt:lpstr>Revolver</vt:lpstr>
      <vt:lpstr>Revolver_Undrawn_Fee</vt:lpstr>
      <vt:lpstr>Rollover_Shares</vt:lpstr>
      <vt:lpstr>Sales_per_Store_Toggle</vt:lpstr>
      <vt:lpstr>Share_Price</vt:lpstr>
      <vt:lpstr>Tax_Rate</vt:lpstr>
      <vt:lpstr>Units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dcterms:created xsi:type="dcterms:W3CDTF">2014-03-07T00:48:59Z</dcterms:created>
  <dcterms:modified xsi:type="dcterms:W3CDTF">2014-12-13T22:40:38Z</dcterms:modified>
</cp:coreProperties>
</file>